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<sst xmlns="http://schemas.openxmlformats.org/spreadsheetml/2006/main" count="203" uniqueCount="169">
  <si>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</si>
  <si>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</si>
  <si>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</si>
  <si>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</si>
  <si>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</si>
  <si>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</si>
  <si>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</si>
  <si>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</si>
  <si>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</si>
  <si>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</si>
  <si>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</si>
  <si>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</si>
  <si>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</si>
  <si>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</si>
  <si>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</si>
  <si>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</si>
  <si>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</si>
  <si>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</si>
  <si>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</si>
  <si>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</si>
  <si>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</si>
  <si>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</si>
  <si>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</si>
  <si>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</si>
  <si>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</si>
  <si>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</si>
  <si>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</si>
  <si>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</si>
  <si>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</si>
  <si>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</si>
  <si>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</si>
  <si>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</si>
  <si>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</si>
  <si>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</si>
  <si>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</si>
  <si>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 xml:space="preserve">   Учет затрат по текущему ремонту по ул. Белякова д.9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</si>
  <si>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</si>
  <si>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</si>
  <si>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</si>
  <si>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</si>
  <si>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</si>
  <si>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</si>
  <si>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</si>
  <si>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</si>
  <si>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</si>
  <si>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</si>
  <si>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</si>
  <si>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</si>
  <si>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</si>
  <si>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</si>
  <si>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</si>
  <si>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</si>
  <si>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</si>
  <si>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</si>
  <si>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</si>
  <si>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</si>
  <si>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</si>
  <si>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</si>
  <si>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</si>
  <si>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</si>
  <si>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</si>
  <si>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</si>
  <si>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</si>
  <si>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</si>
  <si>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</si>
  <si>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</si>
  <si>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</si>
  <si>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</si>
  <si>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</si>
  <si>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</si>
  <si>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</si>
  <si>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</si>
  <si>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</si>
  <si>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</si>
  <si>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м2</t>
  </si>
  <si>
    <t>Рязаньгоргаз (тех.обслуживание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</si>
  <si>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</si>
  <si>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</si>
  <si>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</si>
  <si>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</si>
  <si>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</si>
  <si>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</si>
  <si>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</si>
  <si>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</si>
  <si>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</si>
  <si>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</si>
  <si>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</si>
  <si>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</si>
  <si>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</si>
  <si>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</si>
  <si>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</si>
  <si>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</si>
  <si>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</si>
  <si>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</si>
  <si>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</si>
  <si>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</si>
  <si>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</si>
  <si>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</si>
  <si>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</si>
  <si>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</si>
  <si>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</si>
  <si>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</si>
  <si>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</si>
  <si>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</si>
  <si>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</si>
  <si>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</si>
  <si>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</si>
  <si>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</si>
  <si>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</si>
  <si>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</si>
  <si>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</si>
  <si>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</si>
  <si>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</si>
  <si>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</si>
  <si>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</si>
  <si>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</si>
  <si>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</si>
  <si>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</si>
  <si>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</si>
  <si>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</si>
  <si>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</si>
  <si>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</si>
  <si>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</si>
  <si>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</si>
  <si>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</si>
  <si>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</si>
  <si>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</si>
  <si>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</si>
  <si>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</si>
  <si>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</si>
  <si>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2023 г.</t>
  </si>
  <si>
    <r>
      <rPr>
        <sz val="10"/>
        <rFont val="Arial Cyr"/>
        <family val="0"/>
      </rPr>
      <t>1.2 Арендаторы</t>
    </r>
    <r>
      <rPr>
        <sz val="9"/>
        <rFont val="Arial Cyr"/>
        <family val="0"/>
      </rPr>
      <t xml:space="preserve">        (почта,аптека,Абрамова,С.Банк, Ростелеком, МТС, ТТК)   </t>
    </r>
    <r>
      <rPr>
        <sz val="8"/>
        <rFont val="Arial Cyr"/>
        <family val="0"/>
      </rPr>
      <t xml:space="preserve">                       </t>
    </r>
  </si>
  <si>
    <t>августа</t>
  </si>
  <si>
    <t>за   июль-август  2023 г.</t>
  </si>
  <si>
    <t>01.07.2023г.</t>
  </si>
  <si>
    <t>ост.на 01.09</t>
  </si>
  <si>
    <t>ремонт контейнерных баков</t>
  </si>
  <si>
    <t>материал для ремонта контейнерных баков</t>
  </si>
  <si>
    <t>смена ламп (4шт) п-д 2,3</t>
  </si>
  <si>
    <t>лампа</t>
  </si>
  <si>
    <t>4шт</t>
  </si>
  <si>
    <t xml:space="preserve">смена светильника (1шт) </t>
  </si>
  <si>
    <t>светильник</t>
  </si>
  <si>
    <t>1шт</t>
  </si>
  <si>
    <t>смена вентиля д 25 (2шт) подвал</t>
  </si>
  <si>
    <t>смена труб д 32 п.пр (6мп) подвал</t>
  </si>
  <si>
    <t>вентиль д 25</t>
  </si>
  <si>
    <t>2шт</t>
  </si>
  <si>
    <t>американка 32</t>
  </si>
  <si>
    <t>3шт</t>
  </si>
  <si>
    <t>переход 32/20</t>
  </si>
  <si>
    <t>врезка 25</t>
  </si>
  <si>
    <t>диск</t>
  </si>
  <si>
    <t>труба д 32 п.пр</t>
  </si>
  <si>
    <t>6мп</t>
  </si>
  <si>
    <t>муфта 32</t>
  </si>
  <si>
    <t>5шт</t>
  </si>
  <si>
    <t>тройник 32</t>
  </si>
  <si>
    <t xml:space="preserve">бочонок </t>
  </si>
  <si>
    <t xml:space="preserve">смена замка (1шт) </t>
  </si>
  <si>
    <t>замок</t>
  </si>
  <si>
    <t>смена ламп (9шт) п-д3, подвал</t>
  </si>
  <si>
    <t>9шт</t>
  </si>
  <si>
    <t>прочистка канализации</t>
  </si>
  <si>
    <t xml:space="preserve">смена светильника (6шт) </t>
  </si>
  <si>
    <t>6шт</t>
  </si>
  <si>
    <t>светильник наст.</t>
  </si>
  <si>
    <t>смена ламп (13шт) п-д2,3</t>
  </si>
  <si>
    <t>13шт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</si>
</sst>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"/>
    <numFmt numFmtId="187" formatCode="0.0000000"/>
    <numFmt numFmtId="188" formatCode="0.0%"/>
    <numFmt numFmtId="189" formatCode="0.0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righ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ont="1" applyFill="1" applyAlignment="1">
      <alignment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0" fillId="32" borderId="0" xfId="0" applyFill="1" applyAlignment="1">
      <alignment horizontal="center"/>
    </xf>
    <xf numFmtId="0" fontId="0" fillId="32" borderId="0" xfId="0" applyFont="1" applyFill="1" applyAlignment="1">
      <alignment horizontal="center"/>
    </xf>
    <xf numFmtId="2" fontId="0" fillId="32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22">
      <selection activeCell="M60" sqref="M60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1.375" style="0" customWidth="1"/>
    <col min="6" max="6" width="10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35</v>
      </c>
    </row>
    <row r="2" spans="3:11" ht="12.75">
      <c r="C2" s="1" t="s">
        <v>85</v>
      </c>
      <c r="D2" s="8">
        <v>7</v>
      </c>
      <c r="E2" s="66">
        <v>8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130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50">
        <f>L6*524.58*1.302</f>
        <v>0</v>
      </c>
    </row>
    <row r="7" spans="2:13" ht="12.75">
      <c r="B7" t="s">
        <v>89</v>
      </c>
      <c r="C7" s="1" t="s">
        <v>90</v>
      </c>
      <c r="D7" s="8">
        <v>9</v>
      </c>
      <c r="J7" s="14">
        <v>2</v>
      </c>
      <c r="K7" s="14" t="s">
        <v>44</v>
      </c>
      <c r="L7" s="14"/>
      <c r="M7" s="50">
        <f aca="true" t="shared" si="0" ref="M7:M19">L7*524.58*1.302</f>
        <v>0</v>
      </c>
    </row>
    <row r="8" spans="10:13" ht="12.75">
      <c r="J8" s="15"/>
      <c r="K8" s="15" t="s">
        <v>45</v>
      </c>
      <c r="L8" s="21"/>
      <c r="M8" s="50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50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50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50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50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5.14</v>
      </c>
      <c r="M13" s="50">
        <f t="shared" si="0"/>
        <v>3510.6362424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50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50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50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0</v>
      </c>
      <c r="M17" s="50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1.35</v>
      </c>
      <c r="M18" s="50">
        <f t="shared" si="0"/>
        <v>922.0542660000002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50">
        <f t="shared" si="0"/>
        <v>341.50158000000005</v>
      </c>
    </row>
    <row r="20" spans="1:13" ht="12.75">
      <c r="A20" t="s">
        <v>102</v>
      </c>
      <c r="J20" s="20"/>
      <c r="K20" s="27" t="s">
        <v>58</v>
      </c>
      <c r="L20" s="28">
        <f>SUM(L6:L19)</f>
        <v>6.99</v>
      </c>
      <c r="M20" s="34">
        <f>SUM(M6:M19)</f>
        <v>4774.1920884</v>
      </c>
    </row>
    <row r="21" spans="1:11" ht="12.75">
      <c r="A21" t="s">
        <v>126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136</v>
      </c>
      <c r="L24" s="50">
        <v>0.2</v>
      </c>
      <c r="M24" s="33">
        <f aca="true" t="shared" si="1" ref="M24:M38">L24*524.58*1.302*1.15</f>
        <v>157.0907268</v>
      </c>
    </row>
    <row r="25" spans="1:13" ht="12.75">
      <c r="A25" t="s">
        <v>106</v>
      </c>
      <c r="J25" s="20">
        <v>2</v>
      </c>
      <c r="K25" s="20" t="s">
        <v>138</v>
      </c>
      <c r="L25" s="25">
        <v>0.28</v>
      </c>
      <c r="M25" s="33">
        <f t="shared" si="1"/>
        <v>219.92701752000002</v>
      </c>
    </row>
    <row r="26" spans="1:13" ht="12.75">
      <c r="A26" t="s">
        <v>107</v>
      </c>
      <c r="J26" s="20">
        <v>3</v>
      </c>
      <c r="K26" s="20" t="s">
        <v>141</v>
      </c>
      <c r="L26" s="25">
        <v>0.89</v>
      </c>
      <c r="M26" s="33">
        <f t="shared" si="1"/>
        <v>699.0537342599999</v>
      </c>
    </row>
    <row r="27" spans="1:13" ht="12.75">
      <c r="A27" s="51" t="s">
        <v>108</v>
      </c>
      <c r="B27" s="51"/>
      <c r="C27" s="51"/>
      <c r="D27" s="51"/>
      <c r="E27" s="51"/>
      <c r="F27" s="51"/>
      <c r="G27" s="51"/>
      <c r="J27" s="20">
        <v>4</v>
      </c>
      <c r="K27" s="20" t="s">
        <v>144</v>
      </c>
      <c r="L27" s="50">
        <f>1.03*2</f>
        <v>2.06</v>
      </c>
      <c r="M27" s="33">
        <f t="shared" si="1"/>
        <v>1618.03448604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145</v>
      </c>
      <c r="L28" s="25">
        <f>0.06*156.46</f>
        <v>9.3876</v>
      </c>
      <c r="M28" s="33">
        <f t="shared" si="1"/>
        <v>7373.524534538401</v>
      </c>
    </row>
    <row r="29" spans="1:13" ht="12.75">
      <c r="A29" t="s">
        <v>110</v>
      </c>
      <c r="B29" s="1"/>
      <c r="C29" s="8"/>
      <c r="D29" s="8"/>
      <c r="J29" s="20">
        <v>6</v>
      </c>
      <c r="K29" s="20" t="s">
        <v>159</v>
      </c>
      <c r="L29" s="25">
        <v>1.07</v>
      </c>
      <c r="M29" s="33">
        <f t="shared" si="1"/>
        <v>840.4353883800001</v>
      </c>
    </row>
    <row r="30" spans="10:13" ht="12.75">
      <c r="J30" s="20">
        <v>7</v>
      </c>
      <c r="K30" s="20" t="s">
        <v>161</v>
      </c>
      <c r="L30" s="25">
        <f>0.09*7.1</f>
        <v>0.6389999999999999</v>
      </c>
      <c r="M30" s="33">
        <f t="shared" si="1"/>
        <v>501.90487212599993</v>
      </c>
    </row>
    <row r="31" spans="2:13" ht="12.75">
      <c r="B31" t="s">
        <v>0</v>
      </c>
      <c r="J31" s="20">
        <v>8</v>
      </c>
      <c r="K31" s="20" t="s">
        <v>163</v>
      </c>
      <c r="L31" s="25">
        <v>4.8</v>
      </c>
      <c r="M31" s="33">
        <f t="shared" si="1"/>
        <v>3770.1774431999997</v>
      </c>
    </row>
    <row r="32" spans="10:13" ht="12.75">
      <c r="J32" s="20">
        <v>9</v>
      </c>
      <c r="K32" s="20" t="s">
        <v>164</v>
      </c>
      <c r="L32" s="25">
        <f>0.06*89.1</f>
        <v>5.345999999999999</v>
      </c>
      <c r="M32" s="33">
        <f t="shared" si="1"/>
        <v>4199.035127363999</v>
      </c>
    </row>
    <row r="33" spans="1:13" ht="12.75">
      <c r="A33" t="s">
        <v>1</v>
      </c>
      <c r="E33">
        <v>3670.7</v>
      </c>
      <c r="F33" t="s">
        <v>74</v>
      </c>
      <c r="J33" s="20">
        <v>10</v>
      </c>
      <c r="K33" s="20" t="s">
        <v>141</v>
      </c>
      <c r="L33" s="25">
        <v>0.89</v>
      </c>
      <c r="M33" s="33">
        <f t="shared" si="1"/>
        <v>699.0537342599999</v>
      </c>
    </row>
    <row r="34" spans="1:13" ht="12.75">
      <c r="A34" t="s">
        <v>2</v>
      </c>
      <c r="E34">
        <v>1286.7</v>
      </c>
      <c r="F34" t="s">
        <v>74</v>
      </c>
      <c r="J34" s="20">
        <v>11</v>
      </c>
      <c r="K34" s="20" t="s">
        <v>167</v>
      </c>
      <c r="L34" s="25">
        <f>0.13*7.1</f>
        <v>0.9229999999999999</v>
      </c>
      <c r="M34" s="33">
        <f t="shared" si="1"/>
        <v>724.9737041819999</v>
      </c>
    </row>
    <row r="35" spans="1:13" ht="12.75">
      <c r="A35" t="s">
        <v>3</v>
      </c>
      <c r="J35" s="20">
        <v>12</v>
      </c>
      <c r="K35" s="20"/>
      <c r="L35" s="50"/>
      <c r="M35" s="33">
        <f t="shared" si="1"/>
        <v>0</v>
      </c>
    </row>
    <row r="36" spans="1:13" ht="12.75">
      <c r="A36" t="s">
        <v>4</v>
      </c>
      <c r="E36">
        <v>415.9</v>
      </c>
      <c r="F36" t="s">
        <v>74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>
        <v>14</v>
      </c>
      <c r="K37" s="20"/>
      <c r="L37" s="25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3">
        <f t="shared" si="1"/>
        <v>0</v>
      </c>
    </row>
    <row r="39" spans="10:13" ht="12.75">
      <c r="J39" s="20"/>
      <c r="K39" s="30" t="s">
        <v>58</v>
      </c>
      <c r="L39" s="28">
        <f>SUM(L24:L38)</f>
        <v>26.485599999999998</v>
      </c>
      <c r="M39" s="35">
        <f>SUM(M24:M38)</f>
        <v>20803.2107686704</v>
      </c>
    </row>
    <row r="40" spans="1:11" ht="12.75">
      <c r="A40" s="2" t="s">
        <v>6</v>
      </c>
      <c r="F40" s="5">
        <v>115859.92</v>
      </c>
      <c r="K40" s="1" t="s">
        <v>62</v>
      </c>
    </row>
    <row r="41" spans="1:13" ht="12.75">
      <c r="A41" t="s">
        <v>7</v>
      </c>
      <c r="F41" s="5">
        <v>100488.09</v>
      </c>
      <c r="J41" s="22" t="s">
        <v>36</v>
      </c>
      <c r="K41" s="22"/>
      <c r="L41" s="22" t="s">
        <v>63</v>
      </c>
      <c r="M41" s="22" t="s">
        <v>42</v>
      </c>
    </row>
    <row r="42" spans="2:13" ht="12.75">
      <c r="B42" t="s">
        <v>8</v>
      </c>
      <c r="F42" s="9">
        <f>F41/F40</f>
        <v>0.8673240064381194</v>
      </c>
      <c r="J42" s="23" t="s">
        <v>37</v>
      </c>
      <c r="K42" s="23" t="s">
        <v>38</v>
      </c>
      <c r="L42" s="23"/>
      <c r="M42" s="23" t="s">
        <v>64</v>
      </c>
    </row>
    <row r="43" spans="1:13" ht="22.5" customHeight="1">
      <c r="A43" s="67" t="s">
        <v>131</v>
      </c>
      <c r="B43" s="68"/>
      <c r="C43" s="68"/>
      <c r="D43" s="68"/>
      <c r="E43" s="68"/>
      <c r="F43" s="11">
        <f>(99.9+232.9+107.7+37.5+174.78+57.6)*15.78+(400+300+400)</f>
        <v>12309.7964</v>
      </c>
      <c r="J43" s="45">
        <v>1</v>
      </c>
      <c r="K43" s="43" t="s">
        <v>137</v>
      </c>
      <c r="L43" s="23"/>
      <c r="M43" s="58">
        <v>506</v>
      </c>
    </row>
    <row r="44" spans="1:13" ht="12.75">
      <c r="A44" s="3" t="s">
        <v>9</v>
      </c>
      <c r="B44" s="3"/>
      <c r="C44" s="3"/>
      <c r="D44" s="3"/>
      <c r="E44" s="1"/>
      <c r="F44" s="32">
        <f>F41+F43</f>
        <v>112797.88639999999</v>
      </c>
      <c r="J44" s="45">
        <v>2</v>
      </c>
      <c r="K44" s="43" t="s">
        <v>139</v>
      </c>
      <c r="L44" s="23" t="s">
        <v>140</v>
      </c>
      <c r="M44" s="23">
        <f>4*15.9</f>
        <v>63.6</v>
      </c>
    </row>
    <row r="45" spans="6:13" ht="12.75">
      <c r="F45" s="5"/>
      <c r="J45" s="45">
        <v>3</v>
      </c>
      <c r="K45" s="43" t="s">
        <v>142</v>
      </c>
      <c r="L45" s="23" t="s">
        <v>143</v>
      </c>
      <c r="M45" s="58">
        <v>241.25</v>
      </c>
    </row>
    <row r="46" spans="2:13" ht="12.75">
      <c r="B46" s="1" t="s">
        <v>10</v>
      </c>
      <c r="C46" s="1"/>
      <c r="J46" s="45">
        <v>4</v>
      </c>
      <c r="K46" s="43" t="s">
        <v>146</v>
      </c>
      <c r="L46" s="23" t="s">
        <v>147</v>
      </c>
      <c r="M46" s="58">
        <f>2*1220.75</f>
        <v>2441.5</v>
      </c>
    </row>
    <row r="47" spans="10:13" ht="12.75">
      <c r="J47" s="45">
        <v>5</v>
      </c>
      <c r="K47" s="43" t="s">
        <v>148</v>
      </c>
      <c r="L47" s="23" t="s">
        <v>149</v>
      </c>
      <c r="M47" s="23">
        <f>3*285.76</f>
        <v>857.28</v>
      </c>
    </row>
    <row r="48" spans="1:13" ht="12.75">
      <c r="A48" s="4" t="s">
        <v>11</v>
      </c>
      <c r="B48" s="4"/>
      <c r="C48" s="4"/>
      <c r="D48" s="4"/>
      <c r="E48" s="4"/>
      <c r="F48" s="4"/>
      <c r="J48" s="45">
        <v>6</v>
      </c>
      <c r="K48" s="43" t="s">
        <v>150</v>
      </c>
      <c r="L48" s="23" t="s">
        <v>147</v>
      </c>
      <c r="M48" s="23">
        <v>22</v>
      </c>
    </row>
    <row r="49" spans="1:13" ht="12.75">
      <c r="A49" t="s">
        <v>12</v>
      </c>
      <c r="F49" s="11">
        <f>(9835+9834)*1.302</f>
        <v>25609.038</v>
      </c>
      <c r="J49" s="45">
        <v>7</v>
      </c>
      <c r="K49" s="43" t="s">
        <v>151</v>
      </c>
      <c r="L49" s="23" t="s">
        <v>147</v>
      </c>
      <c r="M49" s="23">
        <f>2*72</f>
        <v>144</v>
      </c>
    </row>
    <row r="50" spans="1:13" ht="12.75">
      <c r="A50" s="6" t="s">
        <v>15</v>
      </c>
      <c r="F50" s="11">
        <f>(2450+2450)*1.302</f>
        <v>6379.8</v>
      </c>
      <c r="J50" s="45">
        <v>8</v>
      </c>
      <c r="K50" s="43" t="s">
        <v>152</v>
      </c>
      <c r="L50" s="23" t="s">
        <v>147</v>
      </c>
      <c r="M50" s="23">
        <f>2*34</f>
        <v>68</v>
      </c>
    </row>
    <row r="51" spans="1:13" ht="12.75">
      <c r="A51" s="59" t="s">
        <v>83</v>
      </c>
      <c r="B51" s="56"/>
      <c r="C51" s="60"/>
      <c r="D51" s="60"/>
      <c r="E51" s="64">
        <v>0</v>
      </c>
      <c r="F51" s="65">
        <f>E51*E33</f>
        <v>0</v>
      </c>
      <c r="J51" s="45">
        <v>9</v>
      </c>
      <c r="K51" s="43" t="s">
        <v>153</v>
      </c>
      <c r="L51" s="23" t="s">
        <v>154</v>
      </c>
      <c r="M51" s="23">
        <f>6*208.34</f>
        <v>1250.04</v>
      </c>
    </row>
    <row r="52" spans="1:13" ht="12.75">
      <c r="A52" s="4" t="s">
        <v>33</v>
      </c>
      <c r="D52" s="5"/>
      <c r="F52" s="32">
        <f>F49+F50+F51</f>
        <v>31988.838</v>
      </c>
      <c r="J52" s="45">
        <v>10</v>
      </c>
      <c r="K52" s="43" t="s">
        <v>155</v>
      </c>
      <c r="L52" s="23" t="s">
        <v>156</v>
      </c>
      <c r="M52" s="23">
        <f>5*145.59</f>
        <v>727.95</v>
      </c>
    </row>
    <row r="53" spans="1:13" ht="12.75">
      <c r="A53" s="4" t="s">
        <v>16</v>
      </c>
      <c r="D53" s="5"/>
      <c r="J53" s="45">
        <v>11</v>
      </c>
      <c r="K53" s="43" t="s">
        <v>157</v>
      </c>
      <c r="L53" s="23" t="s">
        <v>143</v>
      </c>
      <c r="M53" s="23">
        <v>22.41</v>
      </c>
    </row>
    <row r="54" spans="1:13" ht="12.75">
      <c r="A54" t="s">
        <v>73</v>
      </c>
      <c r="C54" s="13"/>
      <c r="D54" s="49">
        <v>0</v>
      </c>
      <c r="E54" s="13" t="s">
        <v>14</v>
      </c>
      <c r="F54" s="11">
        <f>E33*D54</f>
        <v>0</v>
      </c>
      <c r="J54" s="45">
        <v>12</v>
      </c>
      <c r="K54" s="43" t="s">
        <v>158</v>
      </c>
      <c r="L54" s="25" t="s">
        <v>147</v>
      </c>
      <c r="M54" s="50">
        <f>2*14</f>
        <v>28</v>
      </c>
    </row>
    <row r="55" spans="1:13" ht="12.75">
      <c r="A55" t="s">
        <v>79</v>
      </c>
      <c r="B55">
        <v>1286.7</v>
      </c>
      <c r="C55" t="s">
        <v>13</v>
      </c>
      <c r="D55" s="5">
        <v>0</v>
      </c>
      <c r="E55" t="s">
        <v>14</v>
      </c>
      <c r="F55" s="11">
        <f>B55*D55</f>
        <v>0</v>
      </c>
      <c r="J55" s="45">
        <v>13</v>
      </c>
      <c r="K55" s="43" t="s">
        <v>160</v>
      </c>
      <c r="L55" s="25" t="s">
        <v>143</v>
      </c>
      <c r="M55" s="25">
        <v>600</v>
      </c>
    </row>
    <row r="56" spans="1:13" ht="12.75">
      <c r="A56" s="4" t="s">
        <v>17</v>
      </c>
      <c r="B56" s="10"/>
      <c r="C56" s="10"/>
      <c r="F56" s="32">
        <f>SUM(F54:F55)</f>
        <v>0</v>
      </c>
      <c r="J56" s="45">
        <v>14</v>
      </c>
      <c r="K56" s="43" t="s">
        <v>139</v>
      </c>
      <c r="L56" s="25" t="s">
        <v>162</v>
      </c>
      <c r="M56" s="25">
        <f>9*15.9</f>
        <v>143.1</v>
      </c>
    </row>
    <row r="57" spans="1:13" ht="12.75">
      <c r="A57" s="4" t="s">
        <v>18</v>
      </c>
      <c r="B57" s="4"/>
      <c r="J57" s="45">
        <v>15</v>
      </c>
      <c r="K57" s="43" t="s">
        <v>142</v>
      </c>
      <c r="L57" s="25" t="s">
        <v>165</v>
      </c>
      <c r="M57" s="25">
        <f>6*830</f>
        <v>4980</v>
      </c>
    </row>
    <row r="58" spans="1:13" ht="12.75">
      <c r="A58" t="s">
        <v>19</v>
      </c>
      <c r="C58">
        <v>1958853</v>
      </c>
      <c r="D58">
        <v>222433.7</v>
      </c>
      <c r="E58">
        <v>3670.7</v>
      </c>
      <c r="F58" s="36">
        <f>C58/D58*E58</f>
        <v>32325.864772739023</v>
      </c>
      <c r="J58" s="45">
        <v>16</v>
      </c>
      <c r="K58" s="43" t="s">
        <v>166</v>
      </c>
      <c r="L58" s="25" t="s">
        <v>143</v>
      </c>
      <c r="M58" s="25">
        <v>241.25</v>
      </c>
    </row>
    <row r="59" spans="1:13" ht="12.75">
      <c r="A59" t="s">
        <v>20</v>
      </c>
      <c r="F59" s="36">
        <f>M20</f>
        <v>4774.1920884</v>
      </c>
      <c r="J59" s="45">
        <v>17</v>
      </c>
      <c r="K59" s="43" t="s">
        <v>139</v>
      </c>
      <c r="L59" s="25" t="s">
        <v>168</v>
      </c>
      <c r="M59" s="25">
        <f>13*15.9</f>
        <v>206.70000000000002</v>
      </c>
    </row>
    <row r="60" spans="1:13" ht="12.75">
      <c r="A60" t="s">
        <v>21</v>
      </c>
      <c r="F60" s="11">
        <f>M39</f>
        <v>20803.2107686704</v>
      </c>
      <c r="J60" s="45">
        <v>18</v>
      </c>
      <c r="K60" s="43"/>
      <c r="L60" s="25"/>
      <c r="M60" s="25"/>
    </row>
    <row r="61" spans="1:13" ht="12.75">
      <c r="A61" t="s">
        <v>70</v>
      </c>
      <c r="F61" s="5">
        <f>1*600*1.302</f>
        <v>781.2</v>
      </c>
      <c r="J61" s="45">
        <v>19</v>
      </c>
      <c r="K61" s="43"/>
      <c r="L61" s="25"/>
      <c r="M61" s="25"/>
    </row>
    <row r="62" spans="1:13" ht="12.75">
      <c r="A62" t="s">
        <v>22</v>
      </c>
      <c r="F62" s="5">
        <f>M68</f>
        <v>12543.080000000002</v>
      </c>
      <c r="J62" s="45">
        <v>20</v>
      </c>
      <c r="K62" s="43"/>
      <c r="L62" s="25"/>
      <c r="M62" s="25"/>
    </row>
    <row r="63" spans="1:13" ht="12.75">
      <c r="A63" t="s">
        <v>23</v>
      </c>
      <c r="F63" s="5"/>
      <c r="J63" s="45">
        <v>21</v>
      </c>
      <c r="K63" s="43"/>
      <c r="L63" s="25"/>
      <c r="M63" s="25"/>
    </row>
    <row r="64" spans="1:13" ht="12.75">
      <c r="A64" t="s">
        <v>24</v>
      </c>
      <c r="F64" s="5"/>
      <c r="J64" s="45">
        <v>22</v>
      </c>
      <c r="K64" s="43"/>
      <c r="L64" s="25"/>
      <c r="M64" s="25"/>
    </row>
    <row r="65" spans="2:13" ht="12.75">
      <c r="B65">
        <v>3670.7</v>
      </c>
      <c r="C65" t="s">
        <v>13</v>
      </c>
      <c r="D65" s="11">
        <v>1.2</v>
      </c>
      <c r="E65" t="s">
        <v>14</v>
      </c>
      <c r="F65" s="11">
        <f>B65*D65</f>
        <v>4404.839999999999</v>
      </c>
      <c r="J65" s="45">
        <v>23</v>
      </c>
      <c r="K65" s="44"/>
      <c r="L65" s="25"/>
      <c r="M65" s="25"/>
    </row>
    <row r="66" spans="1:13" ht="12.75">
      <c r="A66" s="56" t="s">
        <v>75</v>
      </c>
      <c r="B66" s="56"/>
      <c r="C66" s="56"/>
      <c r="D66" s="57"/>
      <c r="E66" s="56"/>
      <c r="F66" s="57">
        <v>0</v>
      </c>
      <c r="J66" s="45">
        <v>24</v>
      </c>
      <c r="K66" s="44"/>
      <c r="L66" s="25"/>
      <c r="M66" s="25"/>
    </row>
    <row r="67" spans="1:13" ht="12.75">
      <c r="A67" s="56" t="s">
        <v>84</v>
      </c>
      <c r="B67" s="56"/>
      <c r="C67" s="56"/>
      <c r="D67" s="57">
        <v>0</v>
      </c>
      <c r="E67" s="56"/>
      <c r="F67" s="57">
        <f>D67*E33</f>
        <v>0</v>
      </c>
      <c r="J67" s="45">
        <v>25</v>
      </c>
      <c r="K67" s="44"/>
      <c r="L67" s="25"/>
      <c r="M67" s="25"/>
    </row>
    <row r="68" spans="1:13" ht="12.75">
      <c r="A68" s="4" t="s">
        <v>25</v>
      </c>
      <c r="B68" s="10"/>
      <c r="C68" s="10"/>
      <c r="F68" s="32">
        <f>SUM(F58:F67)</f>
        <v>75632.38762980943</v>
      </c>
      <c r="J68" s="20"/>
      <c r="K68" s="20"/>
      <c r="L68" s="31" t="s">
        <v>65</v>
      </c>
      <c r="M68" s="28">
        <f>SUM(M43:M67)</f>
        <v>12543.080000000002</v>
      </c>
    </row>
    <row r="69" spans="1:6" ht="12.75">
      <c r="A69" s="4" t="s">
        <v>26</v>
      </c>
      <c r="F69" s="5"/>
    </row>
    <row r="70" spans="1:6" ht="12.75">
      <c r="A70" t="s">
        <v>27</v>
      </c>
      <c r="B70">
        <v>3670.7</v>
      </c>
      <c r="C70" s="5" t="s">
        <v>13</v>
      </c>
      <c r="D70" s="5">
        <v>0.49</v>
      </c>
      <c r="E70" t="s">
        <v>14</v>
      </c>
      <c r="F70" s="11">
        <f>B70*D70</f>
        <v>1798.6429999999998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3670.7</v>
      </c>
      <c r="C73" t="s">
        <v>13</v>
      </c>
      <c r="D73" s="11">
        <v>2.58</v>
      </c>
      <c r="E73" t="s">
        <v>14</v>
      </c>
      <c r="F73" s="5">
        <f>B73*D73</f>
        <v>9470.405999999999</v>
      </c>
    </row>
    <row r="74" spans="1:6" ht="12.75">
      <c r="A74" s="10" t="s">
        <v>29</v>
      </c>
      <c r="F74" s="8">
        <f>F70+F73</f>
        <v>11269.048999999999</v>
      </c>
    </row>
    <row r="75" ht="12.75">
      <c r="A75" s="4" t="s">
        <v>30</v>
      </c>
    </row>
    <row r="76" spans="1:6" ht="12.75">
      <c r="A76" s="7" t="s">
        <v>72</v>
      </c>
      <c r="B76" s="7"/>
      <c r="C76" s="7"/>
      <c r="D76" s="7"/>
      <c r="E76" s="7"/>
      <c r="F76" s="7"/>
    </row>
    <row r="77" spans="2:6" ht="12.75">
      <c r="B77">
        <v>3670.7</v>
      </c>
      <c r="C77" t="s">
        <v>13</v>
      </c>
      <c r="D77" s="11">
        <v>5.68</v>
      </c>
      <c r="E77" t="s">
        <v>14</v>
      </c>
      <c r="F77" s="11">
        <f>B77*D77</f>
        <v>20849.575999999997</v>
      </c>
    </row>
    <row r="78" spans="1:6" ht="12.75">
      <c r="A78" s="61" t="s">
        <v>31</v>
      </c>
      <c r="B78" s="56"/>
      <c r="C78" s="56"/>
      <c r="D78" s="56"/>
      <c r="E78" s="56"/>
      <c r="F78" s="62">
        <f>SUM(F77)</f>
        <v>20849.575999999997</v>
      </c>
    </row>
    <row r="79" spans="1:6" ht="12.75">
      <c r="A79" s="61" t="s">
        <v>78</v>
      </c>
      <c r="B79" s="56"/>
      <c r="C79" s="56"/>
      <c r="D79" s="63">
        <v>0</v>
      </c>
      <c r="E79" s="56"/>
      <c r="F79" s="62">
        <f>D79*E33</f>
        <v>0</v>
      </c>
    </row>
    <row r="80" spans="1:6" ht="12.75">
      <c r="A80" s="1" t="s">
        <v>32</v>
      </c>
      <c r="B80" s="1"/>
      <c r="F80" s="32">
        <f>F52+F56+F68+F74+F78+F79</f>
        <v>139739.85062980943</v>
      </c>
    </row>
    <row r="81" spans="1:9" ht="12.75">
      <c r="A81" s="1" t="s">
        <v>76</v>
      </c>
      <c r="B81" s="37"/>
      <c r="C81" s="37">
        <v>0.058</v>
      </c>
      <c r="D81" s="1"/>
      <c r="E81" s="1"/>
      <c r="F81" s="32">
        <f>F80*5.8%</f>
        <v>8104.911336528946</v>
      </c>
      <c r="I81" s="7"/>
    </row>
    <row r="82" spans="1:9" ht="12.75">
      <c r="A82" s="1"/>
      <c r="B82" s="37" t="s">
        <v>127</v>
      </c>
      <c r="C82" s="37"/>
      <c r="D82" s="1"/>
      <c r="E82" s="54"/>
      <c r="F82" s="55">
        <f>0+0</f>
        <v>0</v>
      </c>
      <c r="I82" s="7"/>
    </row>
    <row r="83" spans="1:9" ht="12.75">
      <c r="A83" s="1"/>
      <c r="B83" s="37" t="s">
        <v>128</v>
      </c>
      <c r="C83" s="37"/>
      <c r="D83" s="1"/>
      <c r="E83" s="54"/>
      <c r="F83" s="55">
        <f>2*293.7</f>
        <v>587.4</v>
      </c>
      <c r="I83" s="7"/>
    </row>
    <row r="84" spans="1:9" ht="12.75">
      <c r="A84" s="1"/>
      <c r="B84" s="37" t="s">
        <v>129</v>
      </c>
      <c r="C84" s="37"/>
      <c r="D84" s="1"/>
      <c r="E84" s="54"/>
      <c r="F84" s="55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46">
        <f>F80+F81+F82+F83+F84</f>
        <v>148432.16196633838</v>
      </c>
    </row>
    <row r="86" spans="2:6" ht="12.75">
      <c r="B86" s="39" t="s">
        <v>66</v>
      </c>
      <c r="C86" s="40" t="s">
        <v>67</v>
      </c>
      <c r="D86" s="22" t="s">
        <v>68</v>
      </c>
      <c r="E86" s="22" t="s">
        <v>69</v>
      </c>
      <c r="F86" s="38" t="s">
        <v>135</v>
      </c>
    </row>
    <row r="87" spans="1:6" ht="12.75">
      <c r="A87" s="13"/>
      <c r="B87" s="41">
        <v>45108</v>
      </c>
      <c r="C87" s="42">
        <v>65510</v>
      </c>
      <c r="D87" s="47">
        <f>F44</f>
        <v>112797.88639999999</v>
      </c>
      <c r="E87" s="47">
        <f>F85</f>
        <v>148432.16196633838</v>
      </c>
      <c r="F87" s="48">
        <f>C87+D87-E87</f>
        <v>29875.724433661613</v>
      </c>
    </row>
    <row r="89" spans="1:6" ht="13.5" thickBot="1">
      <c r="A89" t="s">
        <v>111</v>
      </c>
      <c r="C89" s="52" t="s">
        <v>134</v>
      </c>
      <c r="D89" s="8" t="s">
        <v>112</v>
      </c>
      <c r="E89" s="52">
        <v>45169</v>
      </c>
      <c r="F89" t="s">
        <v>113</v>
      </c>
    </row>
    <row r="90" spans="1:7" ht="13.5" thickBot="1">
      <c r="A90" t="s">
        <v>114</v>
      </c>
      <c r="F90" s="53">
        <f>E87</f>
        <v>148432.16196633838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mergeCells count="1">
    <mergeCell ref="A43:E43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2023-01-12T16:31:37Z</cp:lastPrinted>
  <dcterms:created xsi:type="dcterms:W3CDTF">2008-08-18T07:30:19Z</dcterms:created>
  <dcterms:modified xsi:type="dcterms:W3CDTF">2023-11-20T08:29:23Z</dcterms:modified>
  <cp:category/>
  <cp:version/>
  <cp:contentType/>
  <cp:contentStatus/>
</cp:coreProperties>
</file>