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<sst xmlns="http://schemas.openxmlformats.org/spreadsheetml/2006/main" count="242" uniqueCount="189">
  <si>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</si>
  <si>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</si>
  <si>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</si>
  <si>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</si>
  <si>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</si>
  <si>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</si>
  <si>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</si>
  <si>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</si>
  <si>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</si>
  <si>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</si>
  <si>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</si>
  <si>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</si>
  <si>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</si>
  <si>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</si>
  <si>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</si>
  <si>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</si>
  <si>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</si>
  <si>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</si>
  <si>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</si>
  <si>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</si>
  <si>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</si>
  <si>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</si>
  <si>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</si>
  <si>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</si>
  <si>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</si>
  <si>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</si>
  <si>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</si>
  <si>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</si>
  <si>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</si>
  <si>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</si>
  <si>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</si>
  <si>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</si>
  <si>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</si>
  <si>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</si>
  <si>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</si>
  <si>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</si>
  <si>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</si>
  <si>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</si>
  <si>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</si>
  <si>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</si>
  <si>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</si>
  <si>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</si>
  <si>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</si>
  <si>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</si>
  <si>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</si>
  <si>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</si>
  <si>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</si>
  <si>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</si>
  <si>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</si>
  <si>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</si>
  <si>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</si>
  <si>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</si>
  <si>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</si>
  <si>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</si>
  <si>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</si>
  <si>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</si>
  <si>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</si>
  <si>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</si>
  <si>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</si>
  <si>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</si>
  <si>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</si>
  <si>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</si>
  <si>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</si>
  <si>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</si>
  <si>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</si>
  <si>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</si>
  <si>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</si>
  <si>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</si>
  <si>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</si>
  <si>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</si>
  <si>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</si>
  <si>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</si>
  <si>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</si>
  <si>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</si>
  <si>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</si>
  <si>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</si>
  <si>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</si>
  <si>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</si>
  <si>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</si>
  <si>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</si>
  <si>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</si>
  <si>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</si>
  <si>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</si>
  <si>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</si>
  <si>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</si>
  <si>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</si>
  <si>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</si>
  <si>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</si>
  <si>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</si>
  <si>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</si>
  <si>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</si>
  <si>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</si>
  <si>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</si>
  <si>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</si>
  <si>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</si>
  <si>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</si>
  <si>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</si>
  <si>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</si>
  <si>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</si>
  <si>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</si>
  <si>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</si>
  <si>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</si>
  <si>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</si>
  <si>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</si>
  <si>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</si>
  <si>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</si>
  <si>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</si>
  <si>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</si>
  <si>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</si>
  <si>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</si>
  <si>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</si>
  <si>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</si>
  <si>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</si>
  <si>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</si>
  <si>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</si>
  <si>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</si>
  <si>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</si>
  <si>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</si>
  <si>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</si>
  <si>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</si>
  <si>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</si>
  <si>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</si>
  <si>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</si>
  <si>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</si>
  <si>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</si>
  <si>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</si>
  <si>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</si>
  <si>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</si>
  <si>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</si>
  <si>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</si>
  <si>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</si>
  <si>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</si>
  <si>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МТС)</t>
  </si>
  <si>
    <t>августа</t>
  </si>
  <si>
    <t>за   июль-август  2023 г.</t>
  </si>
  <si>
    <t>01.07.2023г.</t>
  </si>
  <si>
    <t>ост.на 01.09</t>
  </si>
  <si>
    <t>закраска надписей</t>
  </si>
  <si>
    <t>материал для окраски надписей (краска, грунт, кисть)</t>
  </si>
  <si>
    <t>ремонт контейнерных баков</t>
  </si>
  <si>
    <t>материал для ремонта контейнерных баков</t>
  </si>
  <si>
    <t>смена ламп (1шт) п-д 1</t>
  </si>
  <si>
    <t>лампа</t>
  </si>
  <si>
    <t>1шт</t>
  </si>
  <si>
    <t>прочистка канализации</t>
  </si>
  <si>
    <t xml:space="preserve">смена труб д 32 п.пр. (6мп) </t>
  </si>
  <si>
    <t>труба д 32 п.пр.</t>
  </si>
  <si>
    <t>6мп</t>
  </si>
  <si>
    <t>муфта 32</t>
  </si>
  <si>
    <t>4шт</t>
  </si>
  <si>
    <t>уголок 32</t>
  </si>
  <si>
    <t>2шт</t>
  </si>
  <si>
    <t>смена труб д 32 п.пр. (12мп) подвал</t>
  </si>
  <si>
    <t>смена труб д 25 п.пр. (4мп) подвал</t>
  </si>
  <si>
    <t>смена вентиля д 25 (2шт) подвал</t>
  </si>
  <si>
    <t>смена вентиля д 20 (6шт) подвал</t>
  </si>
  <si>
    <t>12мп</t>
  </si>
  <si>
    <t>бочонок 25</t>
  </si>
  <si>
    <t>труба д 25 п.пр</t>
  </si>
  <si>
    <t>4мп</t>
  </si>
  <si>
    <t>муфта комп. 20</t>
  </si>
  <si>
    <t>вентиль д 25</t>
  </si>
  <si>
    <t>труба д 20</t>
  </si>
  <si>
    <t>переход 32/40</t>
  </si>
  <si>
    <t>сгон 32</t>
  </si>
  <si>
    <t>вентиль д 20</t>
  </si>
  <si>
    <t>тройник 32</t>
  </si>
  <si>
    <t>3шт</t>
  </si>
  <si>
    <t>тройник 25</t>
  </si>
  <si>
    <t>американка 32</t>
  </si>
  <si>
    <t>муфта 25</t>
  </si>
  <si>
    <t>американка 25</t>
  </si>
  <si>
    <t>переход 50</t>
  </si>
  <si>
    <t>смена вентиля д 15 (2шт) подвал</t>
  </si>
  <si>
    <t>вентиль д 15</t>
  </si>
  <si>
    <t>ремонт кровли (договор)</t>
  </si>
  <si>
    <t>вышка</t>
  </si>
  <si>
    <t>шифер</t>
  </si>
  <si>
    <t>40шт</t>
  </si>
  <si>
    <t>гвозди</t>
  </si>
  <si>
    <t>10кг</t>
  </si>
  <si>
    <t>5 час.</t>
  </si>
  <si>
    <t>мастика</t>
  </si>
  <si>
    <t>10шт</t>
  </si>
  <si>
    <t>смена ламп (1шт) п-д1</t>
  </si>
  <si>
    <t xml:space="preserve">смена труб д 32 п.пр (8мп) </t>
  </si>
  <si>
    <t>8мп</t>
  </si>
  <si>
    <t>14шт</t>
  </si>
  <si>
    <t>3 часа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</si>
</sst>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52">
      <selection activeCell="M83" sqref="M83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7</v>
      </c>
      <c r="E2" s="62">
        <v>8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3.28</v>
      </c>
      <c r="M6" s="47">
        <f>L6*524.58*1.302</f>
        <v>2240.2503648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2745.6727032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737.6434128000001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341.50158000000005</v>
      </c>
    </row>
    <row r="20" spans="1:13" ht="12.75">
      <c r="A20" t="s">
        <v>103</v>
      </c>
      <c r="J20" s="20"/>
      <c r="K20" s="27" t="s">
        <v>57</v>
      </c>
      <c r="L20" s="34">
        <f>SUM(L6:L19)</f>
        <v>8.879999999999999</v>
      </c>
      <c r="M20" s="34">
        <f>SUM(M6:M19)</f>
        <v>6065.0680608</v>
      </c>
    </row>
    <row r="21" spans="1:11" ht="12.75">
      <c r="A21" t="s">
        <v>127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47">
        <v>8.45</v>
      </c>
      <c r="M24" s="33">
        <f aca="true" t="shared" si="1" ref="M24:M43">L24*524.58*1.15*1.302</f>
        <v>6637.0832073</v>
      </c>
    </row>
    <row r="25" spans="1:13" ht="12.75">
      <c r="A25" t="s">
        <v>107</v>
      </c>
      <c r="J25" s="20">
        <v>2</v>
      </c>
      <c r="K25" s="20" t="s">
        <v>139</v>
      </c>
      <c r="L25" s="47">
        <v>0.2</v>
      </c>
      <c r="M25" s="33">
        <f t="shared" si="1"/>
        <v>157.0907268</v>
      </c>
    </row>
    <row r="26" spans="1:13" ht="12.75">
      <c r="A26" t="s">
        <v>108</v>
      </c>
      <c r="J26" s="20">
        <v>3</v>
      </c>
      <c r="K26" s="20" t="s">
        <v>141</v>
      </c>
      <c r="L26" s="47">
        <v>0.071</v>
      </c>
      <c r="M26" s="33">
        <f t="shared" si="1"/>
        <v>55.767208014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 t="s">
        <v>144</v>
      </c>
      <c r="L27" s="47">
        <v>4.83</v>
      </c>
      <c r="M27" s="33">
        <f t="shared" si="1"/>
        <v>3793.7410522200003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145</v>
      </c>
      <c r="L28" s="47">
        <f>0.06*156.46</f>
        <v>9.3876</v>
      </c>
      <c r="M28" s="33">
        <f t="shared" si="1"/>
        <v>7373.524534538401</v>
      </c>
    </row>
    <row r="29" spans="1:13" ht="12.75">
      <c r="A29" t="s">
        <v>111</v>
      </c>
      <c r="B29" s="1"/>
      <c r="C29" s="8"/>
      <c r="D29" s="8"/>
      <c r="J29" s="20">
        <v>6</v>
      </c>
      <c r="K29" s="20" t="s">
        <v>152</v>
      </c>
      <c r="L29" s="47">
        <f>0.12*156.46</f>
        <v>18.7752</v>
      </c>
      <c r="M29" s="33">
        <f t="shared" si="1"/>
        <v>14747.049069076802</v>
      </c>
    </row>
    <row r="30" spans="10:13" ht="12.75">
      <c r="J30" s="20">
        <v>7</v>
      </c>
      <c r="K30" s="20" t="s">
        <v>153</v>
      </c>
      <c r="L30" s="47">
        <f>0.04*184.3</f>
        <v>7.372000000000001</v>
      </c>
      <c r="M30" s="33">
        <f t="shared" si="1"/>
        <v>5790.364189848</v>
      </c>
    </row>
    <row r="31" spans="2:13" ht="12.75">
      <c r="B31" t="s">
        <v>0</v>
      </c>
      <c r="J31" s="20">
        <v>8</v>
      </c>
      <c r="K31" s="20" t="s">
        <v>154</v>
      </c>
      <c r="L31" s="47">
        <f>1.03*2</f>
        <v>2.06</v>
      </c>
      <c r="M31" s="33">
        <f t="shared" si="1"/>
        <v>1618.03448604</v>
      </c>
    </row>
    <row r="32" spans="10:13" ht="12.75">
      <c r="J32" s="20">
        <v>9</v>
      </c>
      <c r="K32" s="20" t="s">
        <v>155</v>
      </c>
      <c r="L32" s="47">
        <f>1.62*6</f>
        <v>9.72</v>
      </c>
      <c r="M32" s="33">
        <f t="shared" si="1"/>
        <v>7634.609322480001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 t="s">
        <v>173</v>
      </c>
      <c r="L33" s="47">
        <f>0.81*2</f>
        <v>1.62</v>
      </c>
      <c r="M33" s="33">
        <f t="shared" si="1"/>
        <v>1272.4348870800002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 t="s">
        <v>175</v>
      </c>
      <c r="L34" s="47"/>
      <c r="M34" s="33">
        <v>47520</v>
      </c>
    </row>
    <row r="35" spans="1:13" ht="12.75">
      <c r="A35" t="s">
        <v>3</v>
      </c>
      <c r="J35" s="20">
        <v>12</v>
      </c>
      <c r="K35" s="20" t="s">
        <v>184</v>
      </c>
      <c r="L35" s="47">
        <v>0.071</v>
      </c>
      <c r="M35" s="33">
        <f t="shared" si="1"/>
        <v>55.767208014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 t="s">
        <v>144</v>
      </c>
      <c r="L36" s="25">
        <f>0.3*32.2</f>
        <v>9.66</v>
      </c>
      <c r="M36" s="33">
        <f t="shared" si="1"/>
        <v>7587.4821044400005</v>
      </c>
    </row>
    <row r="37" spans="10:13" ht="12.75">
      <c r="J37" s="20">
        <v>14</v>
      </c>
      <c r="K37" s="20" t="s">
        <v>185</v>
      </c>
      <c r="L37" s="47">
        <f>0.08*156.46</f>
        <v>12.516800000000002</v>
      </c>
      <c r="M37" s="33">
        <f t="shared" si="1"/>
        <v>9831.366046051202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11">
        <v>94275.44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5">
        <v>101365.6</v>
      </c>
      <c r="J41" s="20">
        <v>18</v>
      </c>
      <c r="K41" s="20"/>
      <c r="L41" s="25"/>
      <c r="M41" s="33">
        <f t="shared" si="1"/>
        <v>0</v>
      </c>
    </row>
    <row r="42" spans="2:15" ht="12.75">
      <c r="B42" t="s">
        <v>8</v>
      </c>
      <c r="F42" s="9">
        <f>F41/F40</f>
        <v>1.0752068619356219</v>
      </c>
      <c r="J42" s="20">
        <v>19</v>
      </c>
      <c r="K42" s="20"/>
      <c r="L42" s="25"/>
      <c r="M42" s="33">
        <f t="shared" si="1"/>
        <v>0</v>
      </c>
      <c r="N42" s="26"/>
      <c r="O42" s="51"/>
    </row>
    <row r="43" spans="1:13" ht="12.75">
      <c r="A43" s="7" t="s">
        <v>132</v>
      </c>
      <c r="B43" s="7"/>
      <c r="C43" s="7"/>
      <c r="D43" s="7"/>
      <c r="E43" s="7"/>
      <c r="F43" s="5">
        <f>400+300</f>
        <v>700</v>
      </c>
      <c r="J43" s="20">
        <v>20</v>
      </c>
      <c r="K43" s="20"/>
      <c r="L43" s="25"/>
      <c r="M43" s="33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102065.6</v>
      </c>
      <c r="J44" s="20"/>
      <c r="K44" s="30" t="s">
        <v>57</v>
      </c>
      <c r="L44" s="28">
        <f>SUM(L24:L43)</f>
        <v>84.73360000000001</v>
      </c>
      <c r="M44" s="34">
        <f>SUM(M24:M43)</f>
        <v>114074.31404190241</v>
      </c>
    </row>
    <row r="45" ht="12.75">
      <c r="K45" s="1" t="s">
        <v>61</v>
      </c>
    </row>
    <row r="46" spans="2:13" ht="12.75">
      <c r="B46" s="1" t="s">
        <v>10</v>
      </c>
      <c r="C46" s="1"/>
      <c r="J46" s="22" t="s">
        <v>35</v>
      </c>
      <c r="K46" s="22"/>
      <c r="L46" s="22" t="s">
        <v>62</v>
      </c>
      <c r="M46" s="22" t="s">
        <v>41</v>
      </c>
    </row>
    <row r="47" spans="10:13" ht="12.75">
      <c r="J47" s="23" t="s">
        <v>36</v>
      </c>
      <c r="K47" s="23" t="s">
        <v>37</v>
      </c>
      <c r="L47" s="23"/>
      <c r="M47" s="23" t="s">
        <v>63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</v>
      </c>
      <c r="K48" s="20" t="s">
        <v>138</v>
      </c>
      <c r="L48" s="25"/>
      <c r="M48" s="25">
        <v>2270</v>
      </c>
    </row>
    <row r="49" spans="1:13" ht="12.75">
      <c r="A49" t="s">
        <v>12</v>
      </c>
      <c r="F49" s="11">
        <f>(5135+5134)*1.302</f>
        <v>13370.238000000001</v>
      </c>
      <c r="J49" s="20">
        <v>2</v>
      </c>
      <c r="K49" s="20" t="s">
        <v>140</v>
      </c>
      <c r="L49" s="47"/>
      <c r="M49" s="25">
        <v>506</v>
      </c>
    </row>
    <row r="50" spans="1:13" ht="12.75">
      <c r="A50" s="6" t="s">
        <v>15</v>
      </c>
      <c r="F50" s="11">
        <f>(1950+1950)*1.302</f>
        <v>5077.8</v>
      </c>
      <c r="J50" s="20">
        <v>3</v>
      </c>
      <c r="K50" s="20" t="s">
        <v>142</v>
      </c>
      <c r="L50" s="25" t="s">
        <v>143</v>
      </c>
      <c r="M50" s="25">
        <v>15.9</v>
      </c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>
        <v>4</v>
      </c>
      <c r="K51" s="20" t="s">
        <v>146</v>
      </c>
      <c r="L51" s="25" t="s">
        <v>147</v>
      </c>
      <c r="M51" s="25">
        <f>6*208.34</f>
        <v>1250.04</v>
      </c>
    </row>
    <row r="52" spans="1:13" ht="12.75">
      <c r="A52" s="4" t="s">
        <v>33</v>
      </c>
      <c r="F52" s="32">
        <f>F49+F50+F51</f>
        <v>18448.038</v>
      </c>
      <c r="J52" s="20">
        <v>5</v>
      </c>
      <c r="K52" s="20" t="s">
        <v>148</v>
      </c>
      <c r="L52" s="25" t="s">
        <v>149</v>
      </c>
      <c r="M52" s="25">
        <f>4*13.62</f>
        <v>54.48</v>
      </c>
    </row>
    <row r="53" spans="1:13" ht="12.75">
      <c r="A53" s="4" t="s">
        <v>16</v>
      </c>
      <c r="J53" s="20">
        <v>6</v>
      </c>
      <c r="K53" s="20" t="s">
        <v>150</v>
      </c>
      <c r="L53" s="25" t="s">
        <v>151</v>
      </c>
      <c r="M53" s="25">
        <f>2*18.41</f>
        <v>36.82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7</v>
      </c>
      <c r="K54" s="20" t="s">
        <v>148</v>
      </c>
      <c r="L54" s="25" t="s">
        <v>151</v>
      </c>
      <c r="M54" s="25">
        <f>2*143.59</f>
        <v>287.18</v>
      </c>
    </row>
    <row r="55" spans="1:13" ht="12.75">
      <c r="A55" s="45" t="s">
        <v>79</v>
      </c>
      <c r="B55" s="45"/>
      <c r="C55" s="45"/>
      <c r="D55" s="46">
        <v>0</v>
      </c>
      <c r="E55" s="45"/>
      <c r="F55" s="49">
        <v>0</v>
      </c>
      <c r="J55" s="20">
        <v>8</v>
      </c>
      <c r="K55" s="20" t="s">
        <v>146</v>
      </c>
      <c r="L55" s="25" t="s">
        <v>156</v>
      </c>
      <c r="M55" s="25">
        <f>12*208.34</f>
        <v>2500.08</v>
      </c>
    </row>
    <row r="56" spans="1:13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  <c r="J56" s="20">
        <v>9</v>
      </c>
      <c r="K56" s="20" t="s">
        <v>157</v>
      </c>
      <c r="L56" s="25" t="s">
        <v>143</v>
      </c>
      <c r="M56" s="25">
        <v>14</v>
      </c>
    </row>
    <row r="57" spans="1:13" ht="12.75">
      <c r="A57" s="4" t="s">
        <v>17</v>
      </c>
      <c r="B57" s="10"/>
      <c r="C57" s="10"/>
      <c r="F57" s="32">
        <f>SUM(F54:F56)</f>
        <v>0</v>
      </c>
      <c r="J57" s="20">
        <v>10</v>
      </c>
      <c r="K57" s="20" t="s">
        <v>158</v>
      </c>
      <c r="L57" s="25" t="s">
        <v>159</v>
      </c>
      <c r="M57" s="25">
        <f>4*127.59</f>
        <v>510.36</v>
      </c>
    </row>
    <row r="58" spans="1:13" ht="12.75">
      <c r="A58" s="4" t="s">
        <v>18</v>
      </c>
      <c r="B58" s="4"/>
      <c r="J58" s="20">
        <v>11</v>
      </c>
      <c r="K58" s="20" t="s">
        <v>160</v>
      </c>
      <c r="L58" s="25" t="s">
        <v>151</v>
      </c>
      <c r="M58" s="25">
        <f>2*64.78</f>
        <v>129.56</v>
      </c>
    </row>
    <row r="59" spans="1:13" ht="12.75">
      <c r="A59" t="s">
        <v>19</v>
      </c>
      <c r="C59" s="50">
        <v>1958853</v>
      </c>
      <c r="D59">
        <v>222433.7</v>
      </c>
      <c r="E59">
        <v>2983.9</v>
      </c>
      <c r="F59" s="35">
        <f>C59/D59*E59</f>
        <v>26277.589532071805</v>
      </c>
      <c r="J59" s="20">
        <v>12</v>
      </c>
      <c r="K59" s="20" t="s">
        <v>161</v>
      </c>
      <c r="L59" s="25" t="s">
        <v>151</v>
      </c>
      <c r="M59" s="25">
        <f>2*1220.75</f>
        <v>2441.5</v>
      </c>
    </row>
    <row r="60" spans="1:13" ht="12.75">
      <c r="A60" t="s">
        <v>20</v>
      </c>
      <c r="F60" s="35">
        <f>M20</f>
        <v>6065.0680608</v>
      </c>
      <c r="J60" s="20">
        <v>13</v>
      </c>
      <c r="K60" s="20" t="s">
        <v>162</v>
      </c>
      <c r="L60" s="25" t="s">
        <v>159</v>
      </c>
      <c r="M60" s="25">
        <f>4*88.03</f>
        <v>352.12</v>
      </c>
    </row>
    <row r="61" spans="1:13" ht="12.75">
      <c r="A61" t="s">
        <v>21</v>
      </c>
      <c r="F61" s="11">
        <f>M44</f>
        <v>114074.31404190241</v>
      </c>
      <c r="J61" s="20">
        <v>14</v>
      </c>
      <c r="K61" s="20" t="s">
        <v>163</v>
      </c>
      <c r="L61" s="25" t="s">
        <v>143</v>
      </c>
      <c r="M61" s="25">
        <v>22.91</v>
      </c>
    </row>
    <row r="62" spans="1:13" ht="12.75">
      <c r="A62" t="s">
        <v>72</v>
      </c>
      <c r="F62" s="5">
        <f>2*600*1.302</f>
        <v>1562.4</v>
      </c>
      <c r="J62" s="20">
        <v>15</v>
      </c>
      <c r="K62" s="20" t="s">
        <v>164</v>
      </c>
      <c r="L62" s="25" t="s">
        <v>143</v>
      </c>
      <c r="M62" s="25">
        <v>72</v>
      </c>
    </row>
    <row r="63" spans="1:13" ht="12.75">
      <c r="A63" t="s">
        <v>22</v>
      </c>
      <c r="F63" s="5">
        <f>M89</f>
        <v>112519.7</v>
      </c>
      <c r="J63" s="20">
        <v>16</v>
      </c>
      <c r="K63" s="20" t="s">
        <v>165</v>
      </c>
      <c r="L63" s="25" t="s">
        <v>149</v>
      </c>
      <c r="M63" s="25">
        <f>4*668.64</f>
        <v>2674.56</v>
      </c>
    </row>
    <row r="64" spans="1:13" ht="12.75">
      <c r="A64" t="s">
        <v>23</v>
      </c>
      <c r="F64" s="5"/>
      <c r="J64" s="20">
        <v>17</v>
      </c>
      <c r="K64" s="20" t="s">
        <v>166</v>
      </c>
      <c r="L64" s="25" t="s">
        <v>167</v>
      </c>
      <c r="M64" s="25">
        <f>3*50</f>
        <v>150</v>
      </c>
    </row>
    <row r="65" spans="1:13" ht="12.75">
      <c r="A65" t="s">
        <v>24</v>
      </c>
      <c r="F65" s="5"/>
      <c r="J65" s="20">
        <v>18</v>
      </c>
      <c r="K65" s="20" t="s">
        <v>166</v>
      </c>
      <c r="L65" s="25" t="s">
        <v>143</v>
      </c>
      <c r="M65" s="25">
        <v>24.83</v>
      </c>
    </row>
    <row r="66" spans="2:13" ht="12.75">
      <c r="B66">
        <v>2983.9</v>
      </c>
      <c r="C66" t="s">
        <v>13</v>
      </c>
      <c r="D66" s="11">
        <v>1.2</v>
      </c>
      <c r="E66" t="s">
        <v>14</v>
      </c>
      <c r="F66" s="11">
        <f>B66*D66</f>
        <v>3580.68</v>
      </c>
      <c r="J66" s="20">
        <v>19</v>
      </c>
      <c r="K66" s="20" t="s">
        <v>168</v>
      </c>
      <c r="L66" s="25" t="s">
        <v>143</v>
      </c>
      <c r="M66" s="25">
        <v>12.59</v>
      </c>
    </row>
    <row r="67" spans="1:13" ht="12.75">
      <c r="A67" s="50" t="s">
        <v>83</v>
      </c>
      <c r="B67" s="50"/>
      <c r="C67" s="50"/>
      <c r="D67" s="57"/>
      <c r="E67" s="50"/>
      <c r="F67" s="57">
        <v>0</v>
      </c>
      <c r="J67" s="20">
        <v>20</v>
      </c>
      <c r="K67" s="20" t="s">
        <v>148</v>
      </c>
      <c r="L67" s="25" t="s">
        <v>143</v>
      </c>
      <c r="M67" s="25">
        <v>13.62</v>
      </c>
    </row>
    <row r="68" spans="1:13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  <c r="J68" s="20">
        <v>21</v>
      </c>
      <c r="K68" s="20" t="s">
        <v>148</v>
      </c>
      <c r="L68" s="25" t="s">
        <v>149</v>
      </c>
      <c r="M68" s="25">
        <f>4*143.59</f>
        <v>574.36</v>
      </c>
    </row>
    <row r="69" spans="1:13" ht="12.75">
      <c r="A69" s="4" t="s">
        <v>25</v>
      </c>
      <c r="B69" s="10"/>
      <c r="C69" s="10"/>
      <c r="F69" s="32">
        <f>SUM(F59:F68)</f>
        <v>264079.7516347742</v>
      </c>
      <c r="J69" s="20">
        <v>22</v>
      </c>
      <c r="K69" s="20" t="s">
        <v>169</v>
      </c>
      <c r="L69" s="25" t="s">
        <v>151</v>
      </c>
      <c r="M69" s="25">
        <f>2*285.76</f>
        <v>571.52</v>
      </c>
    </row>
    <row r="70" spans="1:13" ht="12.75">
      <c r="A70" s="4" t="s">
        <v>26</v>
      </c>
      <c r="J70" s="20">
        <v>23</v>
      </c>
      <c r="K70" s="20" t="s">
        <v>170</v>
      </c>
      <c r="L70" s="25" t="s">
        <v>149</v>
      </c>
      <c r="M70" s="25">
        <f>4*79.68</f>
        <v>318.72</v>
      </c>
    </row>
    <row r="71" spans="1:13" ht="12.75">
      <c r="A71" t="s">
        <v>27</v>
      </c>
      <c r="B71">
        <v>2983.9</v>
      </c>
      <c r="C71" t="s">
        <v>65</v>
      </c>
      <c r="D71" s="5">
        <v>0.49</v>
      </c>
      <c r="E71" t="s">
        <v>14</v>
      </c>
      <c r="F71" s="11">
        <f>B71*D71</f>
        <v>1462.111</v>
      </c>
      <c r="J71" s="20">
        <v>24</v>
      </c>
      <c r="K71" s="20" t="s">
        <v>171</v>
      </c>
      <c r="L71" s="25" t="s">
        <v>143</v>
      </c>
      <c r="M71" s="25">
        <v>207.58</v>
      </c>
    </row>
    <row r="72" spans="1:13" ht="12.75">
      <c r="A72" t="s">
        <v>28</v>
      </c>
      <c r="F72" s="5"/>
      <c r="J72" s="20">
        <v>25</v>
      </c>
      <c r="K72" s="20" t="s">
        <v>150</v>
      </c>
      <c r="L72" s="25" t="s">
        <v>143</v>
      </c>
      <c r="M72" s="25">
        <v>18.41</v>
      </c>
    </row>
    <row r="73" spans="1:13" ht="12.75">
      <c r="A73" s="7" t="s">
        <v>71</v>
      </c>
      <c r="F73" s="5"/>
      <c r="J73" s="20">
        <v>26</v>
      </c>
      <c r="K73" s="20" t="s">
        <v>172</v>
      </c>
      <c r="L73" s="25" t="s">
        <v>143</v>
      </c>
      <c r="M73" s="25">
        <v>29</v>
      </c>
    </row>
    <row r="74" spans="2:13" ht="12.75">
      <c r="B74">
        <v>2983.9</v>
      </c>
      <c r="C74" t="s">
        <v>13</v>
      </c>
      <c r="D74" s="11">
        <v>2.58</v>
      </c>
      <c r="E74" t="s">
        <v>14</v>
      </c>
      <c r="F74" s="11">
        <f>B74*D74</f>
        <v>7698.462</v>
      </c>
      <c r="J74" s="20">
        <v>27</v>
      </c>
      <c r="K74" s="20" t="s">
        <v>174</v>
      </c>
      <c r="L74" s="25" t="s">
        <v>151</v>
      </c>
      <c r="M74" s="25">
        <f>2*460.32</f>
        <v>920.64</v>
      </c>
    </row>
    <row r="75" spans="1:13" ht="12.75">
      <c r="A75" s="4" t="s">
        <v>29</v>
      </c>
      <c r="F75" s="32">
        <f>F71+F74</f>
        <v>9160.573</v>
      </c>
      <c r="J75" s="20">
        <v>28</v>
      </c>
      <c r="K75" s="20" t="s">
        <v>177</v>
      </c>
      <c r="L75" s="25" t="s">
        <v>178</v>
      </c>
      <c r="M75" s="25">
        <f>40*577.67</f>
        <v>23106.8</v>
      </c>
    </row>
    <row r="76" spans="1:13" ht="12.75">
      <c r="A76" s="4" t="s">
        <v>30</v>
      </c>
      <c r="J76" s="20">
        <v>29</v>
      </c>
      <c r="K76" s="20" t="s">
        <v>179</v>
      </c>
      <c r="L76" s="25" t="s">
        <v>180</v>
      </c>
      <c r="M76" s="25">
        <f>10*205.56</f>
        <v>2055.6</v>
      </c>
    </row>
    <row r="77" spans="1:13" ht="12.75">
      <c r="A77" s="7" t="s">
        <v>73</v>
      </c>
      <c r="B77" s="7"/>
      <c r="C77" s="7"/>
      <c r="D77" s="7"/>
      <c r="E77" s="7"/>
      <c r="F77" s="7"/>
      <c r="J77" s="20">
        <v>30</v>
      </c>
      <c r="K77" s="20" t="s">
        <v>176</v>
      </c>
      <c r="L77" s="25" t="s">
        <v>181</v>
      </c>
      <c r="M77" s="25">
        <f>5*1700</f>
        <v>8500</v>
      </c>
    </row>
    <row r="78" spans="2:13" ht="12.75">
      <c r="B78">
        <v>2983.9</v>
      </c>
      <c r="C78" t="s">
        <v>13</v>
      </c>
      <c r="D78" s="11">
        <v>5.68</v>
      </c>
      <c r="E78" t="s">
        <v>14</v>
      </c>
      <c r="F78" s="11">
        <f>B78*D78</f>
        <v>16948.552</v>
      </c>
      <c r="J78" s="20">
        <v>31</v>
      </c>
      <c r="K78" s="20" t="s">
        <v>182</v>
      </c>
      <c r="L78" s="25" t="s">
        <v>183</v>
      </c>
      <c r="M78" s="25">
        <f>10*4317.39</f>
        <v>43173.9</v>
      </c>
    </row>
    <row r="79" spans="1:13" ht="12.75">
      <c r="A79" s="4" t="s">
        <v>31</v>
      </c>
      <c r="F79" s="32">
        <f>SUM(F78)</f>
        <v>16948.552</v>
      </c>
      <c r="J79" s="20">
        <v>32</v>
      </c>
      <c r="K79" s="20" t="s">
        <v>142</v>
      </c>
      <c r="L79" s="25" t="s">
        <v>143</v>
      </c>
      <c r="M79" s="25">
        <v>15.9</v>
      </c>
    </row>
    <row r="80" spans="1:13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  <c r="J80" s="20">
        <v>33</v>
      </c>
      <c r="K80" s="20" t="s">
        <v>146</v>
      </c>
      <c r="L80" s="25" t="s">
        <v>186</v>
      </c>
      <c r="M80" s="25">
        <f>8*208.34</f>
        <v>1666.72</v>
      </c>
    </row>
    <row r="81" spans="1:13" ht="12.75">
      <c r="A81" s="1" t="s">
        <v>32</v>
      </c>
      <c r="B81" s="1"/>
      <c r="F81" s="32">
        <f>F52+F57+F69+F75+F79+F80</f>
        <v>308636.9146347742</v>
      </c>
      <c r="J81" s="20">
        <v>34</v>
      </c>
      <c r="K81" s="20" t="s">
        <v>182</v>
      </c>
      <c r="L81" s="25" t="s">
        <v>187</v>
      </c>
      <c r="M81" s="25">
        <f>14*923</f>
        <v>12922</v>
      </c>
    </row>
    <row r="82" spans="1:13" ht="12.75">
      <c r="A82" s="1" t="s">
        <v>75</v>
      </c>
      <c r="B82" s="36"/>
      <c r="C82" s="36">
        <v>0.058</v>
      </c>
      <c r="D82" s="1"/>
      <c r="E82" s="1"/>
      <c r="F82" s="32">
        <f>F81*5.8%</f>
        <v>17900.9410488169</v>
      </c>
      <c r="I82" s="7"/>
      <c r="J82" s="20">
        <v>35</v>
      </c>
      <c r="K82" s="20" t="s">
        <v>176</v>
      </c>
      <c r="L82" s="25" t="s">
        <v>188</v>
      </c>
      <c r="M82" s="25">
        <f>3*1700</f>
        <v>5100</v>
      </c>
    </row>
    <row r="83" spans="1:13" ht="12.75">
      <c r="A83" s="1"/>
      <c r="B83" s="36" t="s">
        <v>128</v>
      </c>
      <c r="C83" s="36"/>
      <c r="D83" s="1"/>
      <c r="E83" s="55"/>
      <c r="F83" s="56">
        <f>0+3195.18</f>
        <v>3195.18</v>
      </c>
      <c r="I83" s="7"/>
      <c r="J83" s="20">
        <v>36</v>
      </c>
      <c r="K83" s="20"/>
      <c r="L83" s="25"/>
      <c r="M83" s="25"/>
    </row>
    <row r="84" spans="1:13" ht="12.75">
      <c r="A84" s="1"/>
      <c r="B84" s="36" t="s">
        <v>129</v>
      </c>
      <c r="C84" s="36"/>
      <c r="D84" s="1"/>
      <c r="E84" s="55"/>
      <c r="F84" s="56">
        <f>2*238.66</f>
        <v>477.32</v>
      </c>
      <c r="I84" s="7"/>
      <c r="J84" s="20">
        <v>37</v>
      </c>
      <c r="K84" s="20"/>
      <c r="L84" s="25"/>
      <c r="M84" s="25"/>
    </row>
    <row r="85" spans="1:13" ht="12.75">
      <c r="A85" s="1"/>
      <c r="B85" s="36" t="s">
        <v>130</v>
      </c>
      <c r="C85" s="36"/>
      <c r="D85" s="1"/>
      <c r="E85" s="55"/>
      <c r="F85" s="56">
        <v>0</v>
      </c>
      <c r="I85" s="7"/>
      <c r="J85" s="20">
        <v>38</v>
      </c>
      <c r="K85" s="20"/>
      <c r="L85" s="25"/>
      <c r="M85" s="25"/>
    </row>
    <row r="86" spans="1:13" ht="15">
      <c r="A86" s="12" t="s">
        <v>34</v>
      </c>
      <c r="B86" s="12"/>
      <c r="C86" s="12"/>
      <c r="D86" s="12"/>
      <c r="E86" s="12"/>
      <c r="F86" s="42">
        <f>F81+F82+F83+F84+F85</f>
        <v>330210.3556835911</v>
      </c>
      <c r="J86" s="20">
        <v>39</v>
      </c>
      <c r="K86" s="20"/>
      <c r="L86" s="25"/>
      <c r="M86" s="25"/>
    </row>
    <row r="87" spans="2:13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136</v>
      </c>
      <c r="J87" s="20">
        <v>40</v>
      </c>
      <c r="K87" s="20"/>
      <c r="L87" s="25"/>
      <c r="M87" s="25"/>
    </row>
    <row r="88" spans="1:13" ht="12.75">
      <c r="A88" s="13"/>
      <c r="B88" s="39">
        <v>45108</v>
      </c>
      <c r="C88" s="40">
        <v>-671746</v>
      </c>
      <c r="D88" s="43">
        <f>F44</f>
        <v>102065.6</v>
      </c>
      <c r="E88" s="43">
        <f>F86</f>
        <v>330210.3556835911</v>
      </c>
      <c r="F88" s="44">
        <f>C88+D88-E88</f>
        <v>-899890.7556835911</v>
      </c>
      <c r="J88" s="20">
        <v>41</v>
      </c>
      <c r="K88" s="20"/>
      <c r="L88" s="25"/>
      <c r="M88" s="25"/>
    </row>
    <row r="89" spans="10:13" ht="12.75">
      <c r="J89" s="20"/>
      <c r="K89" s="20"/>
      <c r="L89" s="31" t="s">
        <v>64</v>
      </c>
      <c r="M89" s="28">
        <f>SUM(M48:M88)</f>
        <v>112519.7</v>
      </c>
    </row>
    <row r="90" spans="1:6" ht="13.5" thickBot="1">
      <c r="A90" t="s">
        <v>112</v>
      </c>
      <c r="C90" s="53" t="s">
        <v>135</v>
      </c>
      <c r="D90" s="8" t="s">
        <v>113</v>
      </c>
      <c r="E90" s="53">
        <v>45169</v>
      </c>
      <c r="F90" t="s">
        <v>114</v>
      </c>
    </row>
    <row r="91" spans="1:7" ht="13.5" thickBot="1">
      <c r="A91" t="s">
        <v>115</v>
      </c>
      <c r="F91" s="54">
        <f>E88</f>
        <v>330210.3556835911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2023-01-12T16:20:43Z</cp:lastPrinted>
  <dcterms:created xsi:type="dcterms:W3CDTF">2008-08-18T07:30:19Z</dcterms:created>
  <dcterms:modified xsi:type="dcterms:W3CDTF">2023-11-20T06:56:11Z</dcterms:modified>
  <cp:category/>
  <cp:version/>
  <cp:contentType/>
  <cp:contentStatus/>
</cp:coreProperties>
</file>