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7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<sst xmlns="http://schemas.openxmlformats.org/spreadsheetml/2006/main" count="227" uniqueCount="186">
  <si>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</si>
  <si>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</si>
  <si>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</si>
  <si>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</si>
  <si>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</si>
  <si>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</si>
  <si>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</si>
  <si>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</si>
  <si>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</si>
  <si>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</si>
  <si>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</si>
  <si>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</si>
  <si>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</si>
  <si>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</si>
  <si>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</si>
  <si>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</si>
  <si>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</si>
  <si>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</si>
  <si>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</si>
  <si>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</si>
  <si>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</si>
  <si>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</si>
  <si>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</si>
  <si>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</si>
  <si>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</si>
  <si>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</si>
  <si>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</si>
  <si>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</si>
  <si>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</si>
  <si>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</si>
  <si>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</si>
  <si>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</si>
  <si>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</si>
  <si>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</si>
  <si>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</si>
  <si>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</si>
  <si>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</si>
  <si>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</si>
  <si>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</si>
  <si>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</si>
  <si>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</si>
  <si>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</si>
  <si>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</si>
  <si>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</si>
  <si>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</si>
  <si>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</si>
  <si>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</si>
  <si>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</si>
  <si>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</si>
  <si>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</si>
  <si>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</si>
  <si>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</si>
  <si>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</si>
  <si>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</si>
  <si>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</si>
  <si>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</si>
  <si>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</si>
  <si>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</si>
  <si>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</si>
  <si>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</si>
  <si>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</si>
  <si>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</si>
  <si>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</si>
  <si>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</si>
  <si>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</si>
  <si>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</si>
  <si>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</si>
  <si>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</si>
  <si>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</si>
  <si>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</si>
  <si>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</si>
  <si>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</si>
  <si>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</si>
  <si>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</si>
  <si>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</si>
  <si>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</si>
  <si>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</si>
  <si>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</si>
  <si>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</si>
  <si>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</si>
  <si>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</si>
  <si>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</si>
  <si>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</si>
  <si>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</si>
  <si>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</si>
  <si>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</si>
  <si>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</si>
  <si>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</si>
  <si>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</si>
  <si>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</si>
  <si>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</si>
  <si>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</si>
  <si>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</si>
  <si>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</si>
  <si>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</si>
  <si>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</si>
  <si>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</si>
  <si>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</si>
  <si>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</si>
  <si>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</si>
  <si>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</si>
  <si>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</si>
  <si>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</si>
  <si>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</si>
  <si>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</si>
  <si>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</si>
  <si>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</si>
  <si>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</si>
  <si>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</si>
  <si>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</si>
  <si>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</si>
  <si>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</si>
  <si>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</si>
  <si>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</si>
  <si>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</si>
  <si>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</si>
  <si>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</si>
  <si>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</si>
  <si>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</si>
  <si>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</si>
  <si>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</si>
  <si>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</si>
  <si>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</si>
  <si>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</si>
  <si>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</si>
  <si>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</si>
  <si>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</si>
  <si>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</si>
  <si>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</si>
  <si>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</si>
  <si>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МТС, ТТК)</t>
  </si>
  <si>
    <t>октября</t>
  </si>
  <si>
    <t>за   сентябрь-октябрь  2023 г.</t>
  </si>
  <si>
    <t>01.09.2023г.</t>
  </si>
  <si>
    <t>ост.на 01.11</t>
  </si>
  <si>
    <t>смена труб д 25 п.пр (2мп)</t>
  </si>
  <si>
    <t>труба д 25 п.пр</t>
  </si>
  <si>
    <t>2мп</t>
  </si>
  <si>
    <t>муфта 25</t>
  </si>
  <si>
    <t>2шт</t>
  </si>
  <si>
    <t xml:space="preserve">смена сгона д 20 (1шт) </t>
  </si>
  <si>
    <t>сгон д 20</t>
  </si>
  <si>
    <t>1шт</t>
  </si>
  <si>
    <t>муфта 20</t>
  </si>
  <si>
    <t>к/гайка 20</t>
  </si>
  <si>
    <t xml:space="preserve">смена труб д 25 п.пр (2мп) </t>
  </si>
  <si>
    <t>4шт</t>
  </si>
  <si>
    <t>уголок 25</t>
  </si>
  <si>
    <t>смена труб д 57 (20мп) подвал</t>
  </si>
  <si>
    <t>уст-во врезки (10шт) подвал</t>
  </si>
  <si>
    <t>смена вентиля д 25 (2шт) подвал</t>
  </si>
  <si>
    <t>смена сгона д 25 (2шт) подвал</t>
  </si>
  <si>
    <t>смена труб д 89 (8мп) подвал</t>
  </si>
  <si>
    <t>смена труб д 20 (4мп) подвал</t>
  </si>
  <si>
    <t>смена вентиля д 15 (6шт) подвал</t>
  </si>
  <si>
    <t>смена вентиля д 20 (12шт) подвал</t>
  </si>
  <si>
    <t>уст-во врезки (6шт) подвал</t>
  </si>
  <si>
    <t>труба д 57</t>
  </si>
  <si>
    <t>20мп</t>
  </si>
  <si>
    <t>врезка 20</t>
  </si>
  <si>
    <t>10шт</t>
  </si>
  <si>
    <t>12шт</t>
  </si>
  <si>
    <t>вентиль 25</t>
  </si>
  <si>
    <t>сгон 25</t>
  </si>
  <si>
    <t>труба д 89</t>
  </si>
  <si>
    <t>8мп</t>
  </si>
  <si>
    <t>труба д 20 п.пр</t>
  </si>
  <si>
    <t>4мп</t>
  </si>
  <si>
    <t>переходник</t>
  </si>
  <si>
    <t>вентиль д 15</t>
  </si>
  <si>
    <t>6шт</t>
  </si>
  <si>
    <t>вентиль д 20</t>
  </si>
  <si>
    <t>врезка 15</t>
  </si>
  <si>
    <t>американка 25</t>
  </si>
  <si>
    <t>американка 20</t>
  </si>
  <si>
    <t>бочонок 20</t>
  </si>
  <si>
    <t>бочонок 15</t>
  </si>
  <si>
    <t>тройник 15</t>
  </si>
  <si>
    <t>5шт</t>
  </si>
  <si>
    <t>тройник 20</t>
  </si>
  <si>
    <t>изготовление и установка рамы</t>
  </si>
  <si>
    <t>доска</t>
  </si>
  <si>
    <t>саморез</t>
  </si>
  <si>
    <t>20шт</t>
  </si>
  <si>
    <t>стекло</t>
  </si>
  <si>
    <t>1,5м2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</si>
</sst>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M74" sqref="M74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9</v>
      </c>
      <c r="E2" s="62">
        <v>10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L6*524.58*1.302</f>
        <v>1932.8989428000002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1229.4056880000003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3503.8062108000004</v>
      </c>
    </row>
    <row r="21" spans="1:11" ht="12.75">
      <c r="A21" t="s">
        <v>125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135</v>
      </c>
      <c r="L24" s="48">
        <f>0.02*184.3</f>
        <v>3.6860000000000004</v>
      </c>
      <c r="M24" s="31">
        <f>L24*524.58*1.302*1.15</f>
        <v>2895.1820949240005</v>
      </c>
    </row>
    <row r="25" spans="1:13" ht="12.75">
      <c r="A25" t="s">
        <v>114</v>
      </c>
      <c r="J25" s="20">
        <v>2</v>
      </c>
      <c r="K25" s="20" t="s">
        <v>140</v>
      </c>
      <c r="L25" s="48">
        <v>0.28</v>
      </c>
      <c r="M25" s="31">
        <f aca="true" t="shared" si="1" ref="M25:M41">L25*524.58*1.302*1.15</f>
        <v>219.92701752000002</v>
      </c>
    </row>
    <row r="26" spans="1:13" ht="12.75">
      <c r="A26" t="s">
        <v>115</v>
      </c>
      <c r="J26" s="20">
        <v>3</v>
      </c>
      <c r="K26" s="20" t="s">
        <v>145</v>
      </c>
      <c r="L26" s="48">
        <f>2*1.03</f>
        <v>2.06</v>
      </c>
      <c r="M26" s="31">
        <f t="shared" si="1"/>
        <v>1618.03448604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148</v>
      </c>
      <c r="L27" s="25">
        <f>0.2*134.9</f>
        <v>26.980000000000004</v>
      </c>
      <c r="M27" s="31">
        <f t="shared" si="1"/>
        <v>21191.539045320005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149</v>
      </c>
      <c r="L28" s="25">
        <f>4.46*10</f>
        <v>44.6</v>
      </c>
      <c r="M28" s="31">
        <f t="shared" si="1"/>
        <v>35031.2320764</v>
      </c>
    </row>
    <row r="29" spans="1:13" ht="12.75">
      <c r="A29" t="s">
        <v>118</v>
      </c>
      <c r="B29" s="1"/>
      <c r="C29" s="8"/>
      <c r="D29" s="8"/>
      <c r="J29" s="20">
        <v>6</v>
      </c>
      <c r="K29" s="20" t="s">
        <v>150</v>
      </c>
      <c r="L29" s="48">
        <f>1.03*2</f>
        <v>2.06</v>
      </c>
      <c r="M29" s="31">
        <f t="shared" si="1"/>
        <v>1618.03448604</v>
      </c>
    </row>
    <row r="30" spans="10:13" ht="12.75">
      <c r="J30" s="20">
        <v>7</v>
      </c>
      <c r="K30" s="20" t="s">
        <v>151</v>
      </c>
      <c r="L30" s="25">
        <f>0.02*41.6</f>
        <v>0.8320000000000001</v>
      </c>
      <c r="M30" s="31">
        <f t="shared" si="1"/>
        <v>653.4974234880001</v>
      </c>
    </row>
    <row r="31" spans="2:13" ht="12.75">
      <c r="B31" t="s">
        <v>0</v>
      </c>
      <c r="J31" s="20">
        <v>8</v>
      </c>
      <c r="K31" s="20" t="s">
        <v>152</v>
      </c>
      <c r="L31" s="25">
        <f>0.08*174.8</f>
        <v>13.984000000000002</v>
      </c>
      <c r="M31" s="31">
        <f t="shared" si="1"/>
        <v>10983.783617856003</v>
      </c>
    </row>
    <row r="32" spans="10:13" ht="12.75">
      <c r="J32" s="20">
        <v>9</v>
      </c>
      <c r="K32" s="20" t="s">
        <v>153</v>
      </c>
      <c r="L32" s="25">
        <f>0.04*224.9</f>
        <v>8.996</v>
      </c>
      <c r="M32" s="31">
        <f t="shared" si="1"/>
        <v>7065.940891464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 t="s">
        <v>154</v>
      </c>
      <c r="L33" s="25">
        <f>0.06*81</f>
        <v>4.859999999999999</v>
      </c>
      <c r="M33" s="31">
        <f t="shared" si="1"/>
        <v>3817.3046612399994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 t="s">
        <v>155</v>
      </c>
      <c r="L34" s="25">
        <f>12*0.81</f>
        <v>9.72</v>
      </c>
      <c r="M34" s="31">
        <f t="shared" si="1"/>
        <v>7634.609322480001</v>
      </c>
    </row>
    <row r="35" spans="1:13" ht="12.75">
      <c r="A35" t="s">
        <v>3</v>
      </c>
      <c r="J35" s="20">
        <v>12</v>
      </c>
      <c r="K35" s="20" t="s">
        <v>156</v>
      </c>
      <c r="L35" s="25">
        <f>4.46*6</f>
        <v>26.759999999999998</v>
      </c>
      <c r="M35" s="31">
        <f t="shared" si="1"/>
        <v>21018.739245840003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 t="s">
        <v>180</v>
      </c>
      <c r="L36" s="25">
        <v>3.45</v>
      </c>
      <c r="M36" s="31">
        <f t="shared" si="1"/>
        <v>2709.8150373000003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100257.12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90465.69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0.9023368115900398</v>
      </c>
      <c r="J42" s="20"/>
      <c r="K42" s="30" t="s">
        <v>57</v>
      </c>
      <c r="L42" s="28">
        <f>SUM(L24:L41)</f>
        <v>148.26799999999997</v>
      </c>
      <c r="M42" s="32">
        <f>SUM(M24:M41)</f>
        <v>116457.639405912</v>
      </c>
    </row>
    <row r="43" spans="1:11" ht="12.75">
      <c r="A43" s="7" t="s">
        <v>130</v>
      </c>
      <c r="B43" s="7"/>
      <c r="C43" s="7"/>
      <c r="D43" s="7"/>
      <c r="E43" s="7"/>
      <c r="F43" s="5">
        <f>400+300+400</f>
        <v>1100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91565.69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136</v>
      </c>
      <c r="L46" s="23" t="s">
        <v>137</v>
      </c>
      <c r="M46" s="23">
        <f>2*143.34</f>
        <v>286.68</v>
      </c>
    </row>
    <row r="47" spans="10:13" ht="12.75">
      <c r="J47" s="20">
        <v>2</v>
      </c>
      <c r="K47" s="20" t="s">
        <v>138</v>
      </c>
      <c r="L47" s="23" t="s">
        <v>139</v>
      </c>
      <c r="M47" s="23">
        <f>2*80.09</f>
        <v>160.18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141</v>
      </c>
      <c r="L48" s="23" t="s">
        <v>142</v>
      </c>
      <c r="M48" s="23">
        <v>70</v>
      </c>
    </row>
    <row r="49" spans="1:13" ht="12.75">
      <c r="A49" t="s">
        <v>12</v>
      </c>
      <c r="F49" s="11">
        <f>(6385+6384)*1.302</f>
        <v>16625.238</v>
      </c>
      <c r="J49" s="20">
        <v>4</v>
      </c>
      <c r="K49" s="20" t="s">
        <v>143</v>
      </c>
      <c r="L49" s="23" t="s">
        <v>142</v>
      </c>
      <c r="M49" s="23">
        <v>33</v>
      </c>
    </row>
    <row r="50" spans="1:13" ht="12.75">
      <c r="A50" s="6" t="s">
        <v>15</v>
      </c>
      <c r="F50" s="11">
        <f>(1950+1950)*1.302</f>
        <v>5077.8</v>
      </c>
      <c r="J50" s="20">
        <v>5</v>
      </c>
      <c r="K50" s="20" t="s">
        <v>144</v>
      </c>
      <c r="L50" s="25" t="s">
        <v>142</v>
      </c>
      <c r="M50" s="23">
        <v>23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 t="s">
        <v>136</v>
      </c>
      <c r="L51" s="23" t="s">
        <v>137</v>
      </c>
      <c r="M51" s="23">
        <f>2*143.34</f>
        <v>286.68</v>
      </c>
    </row>
    <row r="52" spans="1:13" ht="12.75">
      <c r="A52" s="10" t="s">
        <v>33</v>
      </c>
      <c r="D52" s="5"/>
      <c r="F52" s="33">
        <f>F49+F50+F51</f>
        <v>21703.038</v>
      </c>
      <c r="J52" s="20">
        <v>7</v>
      </c>
      <c r="K52" s="20" t="s">
        <v>138</v>
      </c>
      <c r="L52" s="23" t="s">
        <v>146</v>
      </c>
      <c r="M52" s="23">
        <f>4*80.09</f>
        <v>320.36</v>
      </c>
    </row>
    <row r="53" spans="1:13" ht="12.75">
      <c r="A53" s="4" t="s">
        <v>16</v>
      </c>
      <c r="D53" s="5"/>
      <c r="J53" s="20">
        <v>8</v>
      </c>
      <c r="K53" s="20" t="s">
        <v>147</v>
      </c>
      <c r="L53" s="23" t="s">
        <v>146</v>
      </c>
      <c r="M53" s="23">
        <f>4*10.92</f>
        <v>43.68</v>
      </c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 t="s">
        <v>157</v>
      </c>
      <c r="L54" s="23" t="s">
        <v>158</v>
      </c>
      <c r="M54" s="23">
        <f>56*58.7</f>
        <v>3287.2000000000003</v>
      </c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 t="s">
        <v>159</v>
      </c>
      <c r="L55" s="23" t="s">
        <v>160</v>
      </c>
      <c r="M55" s="23">
        <f>10*70</f>
        <v>700</v>
      </c>
    </row>
    <row r="56" spans="1:13" ht="12.75">
      <c r="A56" t="s">
        <v>78</v>
      </c>
      <c r="B56">
        <v>0</v>
      </c>
      <c r="C56" t="s">
        <v>13</v>
      </c>
      <c r="D56" s="5">
        <v>0.6</v>
      </c>
      <c r="E56" t="s">
        <v>14</v>
      </c>
      <c r="F56" s="5">
        <f>B56*D56</f>
        <v>0</v>
      </c>
      <c r="J56" s="20">
        <v>11</v>
      </c>
      <c r="K56" s="20" t="s">
        <v>162</v>
      </c>
      <c r="L56" s="23" t="s">
        <v>139</v>
      </c>
      <c r="M56" s="23">
        <f>2*1220.75</f>
        <v>2441.5</v>
      </c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 t="s">
        <v>163</v>
      </c>
      <c r="L57" s="23" t="s">
        <v>139</v>
      </c>
      <c r="M57" s="23">
        <f>2*60</f>
        <v>120</v>
      </c>
    </row>
    <row r="58" spans="1:13" ht="12.75">
      <c r="A58" s="4" t="s">
        <v>18</v>
      </c>
      <c r="B58" s="4"/>
      <c r="J58" s="20">
        <v>13</v>
      </c>
      <c r="K58" s="20" t="s">
        <v>164</v>
      </c>
      <c r="L58" s="23" t="s">
        <v>165</v>
      </c>
      <c r="M58" s="23">
        <f>75.2*58.76</f>
        <v>4418.752</v>
      </c>
    </row>
    <row r="59" spans="1:13" ht="12.75">
      <c r="A59" t="s">
        <v>19</v>
      </c>
      <c r="C59">
        <v>1958853</v>
      </c>
      <c r="D59">
        <v>222433.7</v>
      </c>
      <c r="E59">
        <v>3205.8</v>
      </c>
      <c r="F59" s="36">
        <f>C59/D59*E59</f>
        <v>28231.742525525584</v>
      </c>
      <c r="J59" s="20">
        <v>14</v>
      </c>
      <c r="K59" s="20" t="s">
        <v>166</v>
      </c>
      <c r="L59" s="23" t="s">
        <v>167</v>
      </c>
      <c r="M59" s="23">
        <f>4*90.66</f>
        <v>362.64</v>
      </c>
    </row>
    <row r="60" spans="1:13" ht="12.75">
      <c r="A60" t="s">
        <v>20</v>
      </c>
      <c r="F60" s="36">
        <f>M20</f>
        <v>3503.8062108000004</v>
      </c>
      <c r="J60" s="20">
        <v>15</v>
      </c>
      <c r="K60" s="20" t="s">
        <v>168</v>
      </c>
      <c r="L60" s="23" t="s">
        <v>139</v>
      </c>
      <c r="M60" s="23">
        <f>2*142</f>
        <v>284</v>
      </c>
    </row>
    <row r="61" spans="1:13" ht="12.75">
      <c r="A61" t="s">
        <v>21</v>
      </c>
      <c r="F61" s="11">
        <f>M42</f>
        <v>116457.639405912</v>
      </c>
      <c r="J61" s="20">
        <v>16</v>
      </c>
      <c r="K61" s="20" t="s">
        <v>169</v>
      </c>
      <c r="L61" s="23" t="s">
        <v>170</v>
      </c>
      <c r="M61" s="23">
        <f>6*386.67</f>
        <v>2320.02</v>
      </c>
    </row>
    <row r="62" spans="1:13" ht="12.75">
      <c r="A62" t="s">
        <v>70</v>
      </c>
      <c r="F62" s="5">
        <f>0*600*1.302</f>
        <v>0</v>
      </c>
      <c r="J62" s="20">
        <v>17</v>
      </c>
      <c r="K62" s="20" t="s">
        <v>171</v>
      </c>
      <c r="L62" s="23" t="s">
        <v>161</v>
      </c>
      <c r="M62" s="23">
        <f>12*564.62</f>
        <v>6775.4400000000005</v>
      </c>
    </row>
    <row r="63" spans="1:13" ht="12.75">
      <c r="A63" t="s">
        <v>22</v>
      </c>
      <c r="F63" s="5">
        <f>M81</f>
        <v>28349.557000000004</v>
      </c>
      <c r="J63" s="20">
        <v>18</v>
      </c>
      <c r="K63" s="20" t="s">
        <v>172</v>
      </c>
      <c r="L63" s="23" t="s">
        <v>170</v>
      </c>
      <c r="M63" s="23">
        <f>6*55.58</f>
        <v>333.48</v>
      </c>
    </row>
    <row r="64" spans="1:13" ht="12.75">
      <c r="A64" t="s">
        <v>23</v>
      </c>
      <c r="F64" s="5"/>
      <c r="J64" s="20">
        <v>19</v>
      </c>
      <c r="K64" s="20" t="s">
        <v>173</v>
      </c>
      <c r="L64" s="23" t="s">
        <v>160</v>
      </c>
      <c r="M64" s="23">
        <f>10*216.48</f>
        <v>2164.7999999999997</v>
      </c>
    </row>
    <row r="65" spans="1:13" ht="12.75">
      <c r="A65" t="s">
        <v>24</v>
      </c>
      <c r="F65" s="5"/>
      <c r="J65" s="20">
        <v>20</v>
      </c>
      <c r="K65" s="20" t="s">
        <v>138</v>
      </c>
      <c r="L65" s="23" t="s">
        <v>160</v>
      </c>
      <c r="M65" s="23">
        <f>10*80.09</f>
        <v>800.9000000000001</v>
      </c>
    </row>
    <row r="66" spans="2:13" ht="12.75">
      <c r="B66">
        <v>3205.8</v>
      </c>
      <c r="C66" t="s">
        <v>13</v>
      </c>
      <c r="D66" s="11">
        <v>0.81</v>
      </c>
      <c r="E66" t="s">
        <v>14</v>
      </c>
      <c r="F66" s="11">
        <f>B66*D66</f>
        <v>2596.6980000000003</v>
      </c>
      <c r="J66" s="20">
        <v>21</v>
      </c>
      <c r="K66" s="20" t="s">
        <v>174</v>
      </c>
      <c r="L66" s="23" t="s">
        <v>170</v>
      </c>
      <c r="M66" s="23">
        <f>6*159.47</f>
        <v>956.8199999999999</v>
      </c>
    </row>
    <row r="67" spans="1:13" ht="12.75">
      <c r="A67" s="63" t="s">
        <v>77</v>
      </c>
      <c r="B67" s="63"/>
      <c r="C67" s="63"/>
      <c r="D67" s="64"/>
      <c r="E67" s="63"/>
      <c r="F67" s="64">
        <v>9624</v>
      </c>
      <c r="J67" s="20">
        <v>22</v>
      </c>
      <c r="K67" s="20" t="s">
        <v>175</v>
      </c>
      <c r="L67" s="23" t="s">
        <v>161</v>
      </c>
      <c r="M67" s="23">
        <f>12*20</f>
        <v>240</v>
      </c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 t="s">
        <v>176</v>
      </c>
      <c r="L68" s="25" t="s">
        <v>170</v>
      </c>
      <c r="M68" s="25">
        <f>6*17</f>
        <v>102</v>
      </c>
    </row>
    <row r="69" spans="1:13" ht="12.75">
      <c r="A69" s="10" t="s">
        <v>25</v>
      </c>
      <c r="B69" s="10"/>
      <c r="C69" s="10"/>
      <c r="F69" s="33">
        <f>SUM(F59:F68)</f>
        <v>188763.4431422376</v>
      </c>
      <c r="J69" s="20">
        <v>24</v>
      </c>
      <c r="K69" s="20" t="s">
        <v>177</v>
      </c>
      <c r="L69" s="25" t="s">
        <v>178</v>
      </c>
      <c r="M69" s="25">
        <f>5*32</f>
        <v>160</v>
      </c>
    </row>
    <row r="70" spans="1:13" ht="12.75">
      <c r="A70" s="4" t="s">
        <v>26</v>
      </c>
      <c r="J70" s="20">
        <v>25</v>
      </c>
      <c r="K70" s="20" t="s">
        <v>179</v>
      </c>
      <c r="L70" s="25" t="s">
        <v>178</v>
      </c>
      <c r="M70" s="25">
        <f>5*43</f>
        <v>215</v>
      </c>
    </row>
    <row r="71" spans="1:13" ht="12.75">
      <c r="A71" t="s">
        <v>27</v>
      </c>
      <c r="B71">
        <v>3205.8</v>
      </c>
      <c r="C71" t="s">
        <v>65</v>
      </c>
      <c r="D71" s="5">
        <v>0.49</v>
      </c>
      <c r="E71" t="s">
        <v>14</v>
      </c>
      <c r="F71" s="11">
        <f>B71*D71</f>
        <v>1570.842</v>
      </c>
      <c r="J71" s="20">
        <v>26</v>
      </c>
      <c r="K71" s="20" t="s">
        <v>181</v>
      </c>
      <c r="L71" s="25" t="s">
        <v>139</v>
      </c>
      <c r="M71" s="25">
        <f>2*312.78</f>
        <v>625.56</v>
      </c>
    </row>
    <row r="72" spans="1:13" ht="12.75">
      <c r="A72" t="s">
        <v>28</v>
      </c>
      <c r="F72" s="5"/>
      <c r="J72" s="20">
        <v>27</v>
      </c>
      <c r="K72" s="20" t="s">
        <v>182</v>
      </c>
      <c r="L72" s="25" t="s">
        <v>183</v>
      </c>
      <c r="M72" s="25">
        <f>20*0.55</f>
        <v>11</v>
      </c>
    </row>
    <row r="73" spans="1:13" ht="12.75">
      <c r="A73" s="7" t="s">
        <v>71</v>
      </c>
      <c r="F73" s="5"/>
      <c r="J73" s="20">
        <v>28</v>
      </c>
      <c r="K73" s="20" t="s">
        <v>184</v>
      </c>
      <c r="L73" s="25" t="s">
        <v>185</v>
      </c>
      <c r="M73" s="25">
        <f>1.5*537.91</f>
        <v>806.865</v>
      </c>
    </row>
    <row r="74" spans="2:13" ht="12.75">
      <c r="B74">
        <v>3205.8</v>
      </c>
      <c r="C74" t="s">
        <v>13</v>
      </c>
      <c r="D74" s="11">
        <v>2.86</v>
      </c>
      <c r="E74" t="s">
        <v>14</v>
      </c>
      <c r="F74" s="11">
        <f>B74*D74</f>
        <v>9168.588</v>
      </c>
      <c r="J74" s="20">
        <v>29</v>
      </c>
      <c r="K74" s="20"/>
      <c r="L74" s="25"/>
      <c r="M74" s="25"/>
    </row>
    <row r="75" spans="1:13" ht="12.75">
      <c r="A75" s="10" t="s">
        <v>29</v>
      </c>
      <c r="F75" s="33">
        <f>F71+F74</f>
        <v>10739.43</v>
      </c>
      <c r="J75" s="20">
        <v>30</v>
      </c>
      <c r="K75" s="20"/>
      <c r="L75" s="25"/>
      <c r="M75" s="25"/>
    </row>
    <row r="76" spans="1:13" ht="12.75">
      <c r="A76" s="4" t="s">
        <v>30</v>
      </c>
      <c r="J76" s="20">
        <v>31</v>
      </c>
      <c r="K76" s="20"/>
      <c r="L76" s="25"/>
      <c r="M76" s="25"/>
    </row>
    <row r="77" spans="1:13" ht="12.75">
      <c r="A77" s="7" t="s">
        <v>72</v>
      </c>
      <c r="B77" s="7"/>
      <c r="C77" s="7"/>
      <c r="D77" s="7"/>
      <c r="E77" s="7"/>
      <c r="F77" s="7"/>
      <c r="J77" s="20">
        <v>32</v>
      </c>
      <c r="K77" s="20"/>
      <c r="L77" s="25"/>
      <c r="M77" s="25"/>
    </row>
    <row r="78" spans="2:13" ht="12.75">
      <c r="B78">
        <v>3205.8</v>
      </c>
      <c r="C78" t="s">
        <v>13</v>
      </c>
      <c r="D78" s="11">
        <v>5.44</v>
      </c>
      <c r="E78" t="s">
        <v>14</v>
      </c>
      <c r="F78" s="11">
        <f>B78*D78</f>
        <v>17439.552000000003</v>
      </c>
      <c r="J78" s="20">
        <v>33</v>
      </c>
      <c r="K78" s="20"/>
      <c r="L78" s="25"/>
      <c r="M78" s="25"/>
    </row>
    <row r="79" spans="1:13" ht="12.75">
      <c r="A79" s="10" t="s">
        <v>31</v>
      </c>
      <c r="F79" s="33">
        <f>SUM(F78)</f>
        <v>17439.552000000003</v>
      </c>
      <c r="J79" s="20">
        <v>34</v>
      </c>
      <c r="K79" s="20"/>
      <c r="L79" s="25"/>
      <c r="M79" s="25"/>
    </row>
    <row r="80" spans="1:13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  <c r="J80" s="20">
        <v>35</v>
      </c>
      <c r="K80" s="20"/>
      <c r="L80" s="25"/>
      <c r="M80" s="25"/>
    </row>
    <row r="81" spans="1:13" ht="12.75">
      <c r="A81" s="1" t="s">
        <v>32</v>
      </c>
      <c r="B81" s="1"/>
      <c r="F81" s="33">
        <f>F52+F57+F69+F75+F79+F80</f>
        <v>238645.4631422376</v>
      </c>
      <c r="I81" s="7"/>
      <c r="J81" s="20"/>
      <c r="K81" s="20"/>
      <c r="L81" s="34" t="s">
        <v>63</v>
      </c>
      <c r="M81" s="35">
        <f>SUM(M46:M80)</f>
        <v>28349.557000000004</v>
      </c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13841.43686224978</v>
      </c>
    </row>
    <row r="83" spans="1:6" ht="12.75">
      <c r="A83" s="1"/>
      <c r="B83" s="37" t="s">
        <v>126</v>
      </c>
      <c r="C83" s="37"/>
      <c r="D83" s="1"/>
      <c r="E83" s="54"/>
      <c r="F83" s="55">
        <f>0+291</f>
        <v>291</v>
      </c>
    </row>
    <row r="84" spans="1:6" ht="12.75">
      <c r="A84" s="1"/>
      <c r="B84" s="37" t="s">
        <v>127</v>
      </c>
      <c r="C84" s="37"/>
      <c r="D84" s="1"/>
      <c r="E84" s="54"/>
      <c r="F84" s="55">
        <f>2*192.48</f>
        <v>384.96</v>
      </c>
    </row>
    <row r="85" spans="1:6" ht="12.75">
      <c r="A85" s="1"/>
      <c r="B85" s="37" t="s">
        <v>128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253162.86000448736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134</v>
      </c>
    </row>
    <row r="88" spans="1:6" ht="12.75">
      <c r="A88" s="13"/>
      <c r="B88" s="40">
        <v>45536</v>
      </c>
      <c r="C88" s="41">
        <v>-149741</v>
      </c>
      <c r="D88" s="44">
        <f>F44</f>
        <v>91565.69</v>
      </c>
      <c r="E88" s="44">
        <f>F86</f>
        <v>253162.86000448736</v>
      </c>
      <c r="F88" s="45">
        <f>C88+D88-E88</f>
        <v>-311338.1700044874</v>
      </c>
    </row>
    <row r="90" spans="1:6" ht="13.5" thickBot="1">
      <c r="A90" t="s">
        <v>85</v>
      </c>
      <c r="C90" s="51" t="s">
        <v>133</v>
      </c>
      <c r="D90" s="8" t="s">
        <v>86</v>
      </c>
      <c r="E90" s="51">
        <v>45230</v>
      </c>
      <c r="F90" t="s">
        <v>87</v>
      </c>
    </row>
    <row r="91" spans="1:7" ht="13.5" thickBot="1">
      <c r="A91" t="s">
        <v>88</v>
      </c>
      <c r="F91" s="52">
        <f>E88</f>
        <v>253162.86000448736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2023-01-12T16:35:26Z</cp:lastPrinted>
  <dcterms:created xsi:type="dcterms:W3CDTF">2008-08-18T07:30:19Z</dcterms:created>
  <dcterms:modified xsi:type="dcterms:W3CDTF">2024-01-19T08:25:22Z</dcterms:modified>
  <cp:category/>
  <cp:version/>
  <cp:contentType/>
  <cp:contentStatus/>
</cp:coreProperties>
</file>