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<sst xmlns="http://schemas.openxmlformats.org/spreadsheetml/2006/main" count="221" uniqueCount="179">
  <si>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</si>
  <si>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</si>
  <si>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</si>
  <si>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</si>
  <si>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</si>
  <si>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</si>
  <si>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</si>
  <si>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</si>
  <si>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</si>
  <si>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</si>
  <si>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</si>
  <si>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</si>
  <si>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</si>
  <si>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</si>
  <si>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</si>
  <si>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</si>
  <si>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</si>
  <si>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</si>
  <si>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</si>
  <si>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</si>
  <si>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</si>
  <si>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</si>
  <si>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</si>
  <si>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</si>
  <si>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</si>
  <si>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</si>
  <si>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</si>
  <si>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</si>
  <si>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</si>
  <si>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</si>
  <si>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</si>
  <si>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</si>
  <si>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</si>
  <si>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</si>
  <si>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</si>
  <si>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</si>
  <si>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</si>
  <si>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</si>
  <si>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</si>
  <si>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</si>
  <si>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</si>
  <si>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</si>
  <si>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</si>
  <si>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</si>
  <si>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</si>
  <si>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</si>
  <si>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</si>
  <si>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</si>
  <si>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</si>
  <si>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</si>
  <si>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</si>
  <si>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</si>
  <si>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</si>
  <si>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</si>
  <si>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</si>
  <si>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</si>
  <si>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</si>
  <si>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</si>
  <si>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</si>
  <si>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</si>
  <si>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</si>
  <si>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</si>
  <si>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</si>
  <si>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</si>
  <si>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</si>
  <si>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</si>
  <si>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</si>
  <si>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</si>
  <si>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</si>
  <si>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</si>
  <si>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</si>
  <si>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</si>
  <si>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</si>
  <si>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</si>
  <si>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</si>
  <si>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</si>
  <si>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</si>
  <si>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</si>
  <si>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</si>
  <si>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</si>
  <si>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</si>
  <si>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</si>
  <si>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</si>
  <si>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</si>
  <si>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</si>
  <si>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</si>
  <si>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</si>
  <si>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</si>
  <si>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</si>
  <si>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</si>
  <si>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</si>
  <si>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</si>
  <si>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</si>
  <si>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</si>
  <si>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</si>
  <si>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</si>
  <si>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</si>
  <si>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</si>
  <si>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</si>
  <si>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</si>
  <si>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</si>
  <si>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</si>
  <si>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</si>
  <si>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</si>
  <si>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</si>
  <si>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</si>
  <si>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</si>
  <si>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</si>
  <si>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</si>
  <si>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</si>
  <si>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</si>
  <si>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</si>
  <si>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</si>
  <si>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</si>
  <si>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</si>
  <si>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</si>
  <si>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</si>
  <si>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</si>
  <si>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</si>
  <si>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</si>
  <si>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</si>
  <si>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</si>
  <si>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</si>
  <si>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</si>
  <si>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</si>
  <si>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</si>
  <si>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</si>
  <si>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</si>
  <si>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</si>
  <si>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</si>
  <si>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2023 г.</t>
  </si>
  <si>
    <t>1.2 Аренда (Ростелеком, МТС, ТТК)</t>
  </si>
  <si>
    <t>декабря</t>
  </si>
  <si>
    <t>за   ноябрь-декабрь  2023 г.</t>
  </si>
  <si>
    <t>01.11.2023г.</t>
  </si>
  <si>
    <t>ост.на 01.01</t>
  </si>
  <si>
    <t xml:space="preserve">смена замка (1шт) </t>
  </si>
  <si>
    <t>замок</t>
  </si>
  <si>
    <t>1шт</t>
  </si>
  <si>
    <t>смена светильника (2шт) п-д4</t>
  </si>
  <si>
    <t>светильник</t>
  </si>
  <si>
    <t>смена светильника (1шт) п-д5</t>
  </si>
  <si>
    <t>3шт</t>
  </si>
  <si>
    <t xml:space="preserve">смена труб д110 пвх (3мп) </t>
  </si>
  <si>
    <t>труба д 110 пвх 2мп</t>
  </si>
  <si>
    <t>труба д 110 пвх 1мп</t>
  </si>
  <si>
    <t>компенсатор 110</t>
  </si>
  <si>
    <t>2шт</t>
  </si>
  <si>
    <t>трапер 110</t>
  </si>
  <si>
    <t>диск</t>
  </si>
  <si>
    <t xml:space="preserve">манжета </t>
  </si>
  <si>
    <t>тройник 110</t>
  </si>
  <si>
    <t>отвод 50</t>
  </si>
  <si>
    <t>смена вентиля д 32 (1шт) подвал</t>
  </si>
  <si>
    <t>смена сгона д 32 (2шт) подвал</t>
  </si>
  <si>
    <t>смена труб д 32 п.пр. (4мп) подвал</t>
  </si>
  <si>
    <t>смена труб д 20 п.пр. (4мп) подвал</t>
  </si>
  <si>
    <t>смена вентиля д 15 (1шт) подвал</t>
  </si>
  <si>
    <t>вентиль д 32</t>
  </si>
  <si>
    <t>сгон 32</t>
  </si>
  <si>
    <t>муфта 32</t>
  </si>
  <si>
    <t>к/гайка 32</t>
  </si>
  <si>
    <t>труба д 32 п.пр.</t>
  </si>
  <si>
    <t>4мп</t>
  </si>
  <si>
    <t>труба д 20 п.пр.</t>
  </si>
  <si>
    <t>уголок 32</t>
  </si>
  <si>
    <t>уголок 20</t>
  </si>
  <si>
    <t>6шт</t>
  </si>
  <si>
    <t>переход 32</t>
  </si>
  <si>
    <t>муфта 20</t>
  </si>
  <si>
    <t>американка 25</t>
  </si>
  <si>
    <t>тройник 32</t>
  </si>
  <si>
    <t>вентиль 15</t>
  </si>
  <si>
    <t>разделка упавшего дерева</t>
  </si>
  <si>
    <t>смена ламп (1шт) п-д5</t>
  </si>
  <si>
    <t>лампа</t>
  </si>
  <si>
    <t>ремонт плитки л.кл</t>
  </si>
  <si>
    <t>клей для поитки</t>
  </si>
  <si>
    <t>50кг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</si>
</sst>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4">
      <selection activeCell="L36" sqref="L36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11</v>
      </c>
      <c r="E2" s="57">
        <v>12</v>
      </c>
      <c r="K2" s="5" t="s">
        <v>133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4">
        <f>L6*524.58*1.302</f>
        <v>0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4">
        <f aca="true" t="shared" si="0" ref="M7:M19">L7*524.58*1.302</f>
        <v>0</v>
      </c>
    </row>
    <row r="8" spans="10:13" ht="12.75">
      <c r="J8" s="15"/>
      <c r="K8" s="15" t="s">
        <v>43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4">
        <f t="shared" si="0"/>
        <v>2554.4318184000003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0</v>
      </c>
      <c r="M17" s="44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4">
        <f t="shared" si="0"/>
        <v>1536.7571100000002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4">
        <f t="shared" si="0"/>
        <v>341.50158000000005</v>
      </c>
    </row>
    <row r="20" spans="1:13" ht="12.75">
      <c r="A20" t="s">
        <v>101</v>
      </c>
      <c r="J20" s="20"/>
      <c r="K20" s="27" t="s">
        <v>56</v>
      </c>
      <c r="L20" s="28">
        <f>SUM(L6:L19)</f>
        <v>6.49</v>
      </c>
      <c r="M20" s="33">
        <f>SUM(M6:M19)</f>
        <v>4432.690508400001</v>
      </c>
    </row>
    <row r="21" spans="1:11" ht="12.75">
      <c r="A21" t="s">
        <v>125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136</v>
      </c>
      <c r="L24" s="44">
        <v>1.07</v>
      </c>
      <c r="M24" s="44">
        <f aca="true" t="shared" si="1" ref="M24:M38">L24*524.58*1.302</f>
        <v>730.8133812000001</v>
      </c>
    </row>
    <row r="25" spans="1:13" ht="12.75">
      <c r="A25" t="s">
        <v>105</v>
      </c>
      <c r="J25" s="20">
        <v>2</v>
      </c>
      <c r="K25" s="20" t="s">
        <v>139</v>
      </c>
      <c r="L25" s="44">
        <f>2*0.89</f>
        <v>1.78</v>
      </c>
      <c r="M25" s="44">
        <f t="shared" si="1"/>
        <v>1215.7456248</v>
      </c>
    </row>
    <row r="26" spans="1:13" ht="12.75">
      <c r="A26" t="s">
        <v>106</v>
      </c>
      <c r="J26" s="20">
        <v>3</v>
      </c>
      <c r="K26" s="20" t="s">
        <v>141</v>
      </c>
      <c r="L26" s="44">
        <v>0.89</v>
      </c>
      <c r="M26" s="44">
        <f t="shared" si="1"/>
        <v>607.8728124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20" t="s">
        <v>143</v>
      </c>
      <c r="L27" s="44">
        <f>0.03*146.9</f>
        <v>4.407</v>
      </c>
      <c r="M27" s="44">
        <f t="shared" si="1"/>
        <v>3009.9949261200004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153</v>
      </c>
      <c r="L28" s="25">
        <v>1.03</v>
      </c>
      <c r="M28" s="44">
        <f t="shared" si="1"/>
        <v>703.4932548</v>
      </c>
    </row>
    <row r="29" spans="1:13" ht="12.75">
      <c r="A29" t="s">
        <v>109</v>
      </c>
      <c r="B29" s="1"/>
      <c r="C29" s="8"/>
      <c r="D29" s="8"/>
      <c r="J29" s="20">
        <v>6</v>
      </c>
      <c r="K29" s="20" t="s">
        <v>154</v>
      </c>
      <c r="L29" s="25">
        <v>0.41</v>
      </c>
      <c r="M29" s="44">
        <f t="shared" si="1"/>
        <v>280.0312956</v>
      </c>
    </row>
    <row r="30" spans="10:13" ht="12.75">
      <c r="J30" s="20">
        <v>7</v>
      </c>
      <c r="K30" s="20" t="s">
        <v>155</v>
      </c>
      <c r="L30" s="25">
        <f>0.04*156.46</f>
        <v>6.258400000000001</v>
      </c>
      <c r="M30" s="44">
        <f t="shared" si="1"/>
        <v>4274.506976544001</v>
      </c>
    </row>
    <row r="31" spans="2:13" ht="12.75">
      <c r="B31" t="s">
        <v>0</v>
      </c>
      <c r="J31" s="20">
        <v>8</v>
      </c>
      <c r="K31" s="20" t="s">
        <v>156</v>
      </c>
      <c r="L31" s="25">
        <f>0.04*224.9</f>
        <v>8.996</v>
      </c>
      <c r="M31" s="44">
        <f t="shared" si="1"/>
        <v>6144.29642736</v>
      </c>
    </row>
    <row r="32" spans="10:13" ht="12.75">
      <c r="J32" s="20">
        <v>9</v>
      </c>
      <c r="K32" s="20" t="s">
        <v>157</v>
      </c>
      <c r="L32" s="44">
        <v>0.81</v>
      </c>
      <c r="M32" s="44">
        <f t="shared" si="1"/>
        <v>553.2325596000002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 t="s">
        <v>173</v>
      </c>
      <c r="L33" s="25">
        <f>3*1.75</f>
        <v>5.25</v>
      </c>
      <c r="M33" s="44">
        <f t="shared" si="1"/>
        <v>3585.76659</v>
      </c>
    </row>
    <row r="34" spans="1:13" ht="12.75">
      <c r="A34" t="s">
        <v>2</v>
      </c>
      <c r="E34">
        <v>935.2</v>
      </c>
      <c r="J34" s="20">
        <v>11</v>
      </c>
      <c r="K34" s="20" t="s">
        <v>174</v>
      </c>
      <c r="L34" s="25">
        <v>0.071</v>
      </c>
      <c r="M34" s="44">
        <f t="shared" si="1"/>
        <v>48.49322436</v>
      </c>
    </row>
    <row r="35" spans="1:13" ht="12.75">
      <c r="A35" t="s">
        <v>3</v>
      </c>
      <c r="J35" s="20">
        <v>12</v>
      </c>
      <c r="K35" s="20" t="s">
        <v>176</v>
      </c>
      <c r="L35" s="25">
        <v>1.89</v>
      </c>
      <c r="M35" s="44">
        <f t="shared" si="1"/>
        <v>1290.8759724000001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44">
        <f t="shared" si="1"/>
        <v>0</v>
      </c>
    </row>
    <row r="37" spans="10:13" ht="12.75">
      <c r="J37" s="20">
        <v>14</v>
      </c>
      <c r="K37" s="20"/>
      <c r="L37" s="25"/>
      <c r="M37" s="44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4">
        <f t="shared" si="1"/>
        <v>0</v>
      </c>
    </row>
    <row r="39" spans="10:13" ht="12.75">
      <c r="J39" s="20"/>
      <c r="K39" s="30" t="s">
        <v>56</v>
      </c>
      <c r="L39" s="28">
        <f>SUM(L24:L38)</f>
        <v>32.8624</v>
      </c>
      <c r="M39" s="33">
        <f>SUM(M24:M38)</f>
        <v>22445.123045184006</v>
      </c>
    </row>
    <row r="40" spans="1:11" ht="12.75">
      <c r="A40" s="2" t="s">
        <v>6</v>
      </c>
      <c r="F40" s="11">
        <f>119158.68-30896.69</f>
        <v>88261.98999999999</v>
      </c>
      <c r="K40" s="1" t="s">
        <v>60</v>
      </c>
    </row>
    <row r="41" spans="1:13" ht="12.75">
      <c r="A41" t="s">
        <v>7</v>
      </c>
      <c r="F41" s="5">
        <v>150294.57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1.702823265145053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131</v>
      </c>
      <c r="F43" s="5">
        <f>400+300+400</f>
        <v>1100</v>
      </c>
      <c r="J43" s="20">
        <v>1</v>
      </c>
      <c r="K43" s="20" t="s">
        <v>137</v>
      </c>
      <c r="L43" s="25" t="s">
        <v>138</v>
      </c>
      <c r="M43" s="25">
        <v>387.38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151394.57</v>
      </c>
      <c r="J44" s="20">
        <v>2</v>
      </c>
      <c r="K44" s="20" t="s">
        <v>140</v>
      </c>
      <c r="L44" s="25" t="s">
        <v>142</v>
      </c>
      <c r="M44" s="25">
        <f>3*495</f>
        <v>1485</v>
      </c>
    </row>
    <row r="45" spans="10:13" ht="12.75">
      <c r="J45" s="20">
        <v>3</v>
      </c>
      <c r="K45" s="20" t="s">
        <v>144</v>
      </c>
      <c r="L45" s="25" t="s">
        <v>138</v>
      </c>
      <c r="M45" s="25">
        <v>940.24</v>
      </c>
    </row>
    <row r="46" spans="2:13" ht="12.75">
      <c r="B46" s="1" t="s">
        <v>10</v>
      </c>
      <c r="C46" s="1"/>
      <c r="J46" s="20">
        <v>4</v>
      </c>
      <c r="K46" s="20" t="s">
        <v>145</v>
      </c>
      <c r="L46" s="25" t="s">
        <v>138</v>
      </c>
      <c r="M46" s="25">
        <v>571.35</v>
      </c>
    </row>
    <row r="47" spans="10:13" ht="12.75">
      <c r="J47" s="20">
        <v>5</v>
      </c>
      <c r="K47" s="20" t="s">
        <v>146</v>
      </c>
      <c r="L47" s="25" t="s">
        <v>147</v>
      </c>
      <c r="M47" s="25">
        <f>2*231.36</f>
        <v>462.72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148</v>
      </c>
      <c r="L48" s="25" t="s">
        <v>138</v>
      </c>
      <c r="M48" s="25">
        <v>95.75</v>
      </c>
    </row>
    <row r="49" spans="1:13" ht="12.75">
      <c r="A49" t="s">
        <v>12</v>
      </c>
      <c r="F49" s="11">
        <f>(7100+7100)*1.302</f>
        <v>18488.4</v>
      </c>
      <c r="J49" s="20">
        <v>7</v>
      </c>
      <c r="K49" s="20" t="s">
        <v>149</v>
      </c>
      <c r="L49" s="25" t="s">
        <v>138</v>
      </c>
      <c r="M49" s="25">
        <v>41</v>
      </c>
    </row>
    <row r="50" spans="1:13" ht="12.75">
      <c r="A50" s="6" t="s">
        <v>15</v>
      </c>
      <c r="F50" s="11">
        <f>(3050+3050)*1.302</f>
        <v>7942.200000000001</v>
      </c>
      <c r="J50" s="20">
        <v>8</v>
      </c>
      <c r="K50" s="20" t="s">
        <v>150</v>
      </c>
      <c r="L50" s="25" t="s">
        <v>147</v>
      </c>
      <c r="M50" s="25">
        <f>2*68</f>
        <v>136</v>
      </c>
    </row>
    <row r="51" spans="1:13" ht="12.75">
      <c r="A51" s="54" t="s">
        <v>82</v>
      </c>
      <c r="B51" s="51"/>
      <c r="C51" s="51"/>
      <c r="D51" s="51"/>
      <c r="E51" s="53">
        <v>1.11</v>
      </c>
      <c r="F51" s="52">
        <f>E51*E33</f>
        <v>3798.9750000000004</v>
      </c>
      <c r="J51" s="20">
        <v>9</v>
      </c>
      <c r="K51" s="20" t="s">
        <v>151</v>
      </c>
      <c r="L51" s="25" t="s">
        <v>138</v>
      </c>
      <c r="M51" s="25">
        <v>105</v>
      </c>
    </row>
    <row r="52" spans="1:13" ht="12.75">
      <c r="A52" s="4" t="s">
        <v>32</v>
      </c>
      <c r="F52" s="32">
        <f>F49+F50+F51</f>
        <v>30229.575000000004</v>
      </c>
      <c r="J52" s="20">
        <v>10</v>
      </c>
      <c r="K52" s="20" t="s">
        <v>152</v>
      </c>
      <c r="L52" s="25" t="s">
        <v>147</v>
      </c>
      <c r="M52" s="44">
        <f>2*26</f>
        <v>52</v>
      </c>
    </row>
    <row r="53" spans="1:13" ht="12.75">
      <c r="A53" s="4" t="s">
        <v>16</v>
      </c>
      <c r="J53" s="20">
        <v>11</v>
      </c>
      <c r="K53" s="20" t="s">
        <v>158</v>
      </c>
      <c r="L53" s="25" t="s">
        <v>138</v>
      </c>
      <c r="M53" s="44">
        <v>1078.68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 t="s">
        <v>159</v>
      </c>
      <c r="L54" s="25" t="s">
        <v>147</v>
      </c>
      <c r="M54" s="44">
        <f>2*72</f>
        <v>144</v>
      </c>
    </row>
    <row r="55" spans="1:13" ht="12.75">
      <c r="A55" t="s">
        <v>78</v>
      </c>
      <c r="B55">
        <v>935.2</v>
      </c>
      <c r="C55" t="s">
        <v>13</v>
      </c>
      <c r="D55" s="11">
        <v>0.6</v>
      </c>
      <c r="E55" t="s">
        <v>14</v>
      </c>
      <c r="F55" s="11">
        <f>B55*D55</f>
        <v>561.12</v>
      </c>
      <c r="J55" s="20">
        <v>13</v>
      </c>
      <c r="K55" s="20" t="s">
        <v>160</v>
      </c>
      <c r="L55" s="25" t="s">
        <v>147</v>
      </c>
      <c r="M55" s="44">
        <f>2*96</f>
        <v>192</v>
      </c>
    </row>
    <row r="56" spans="1:13" ht="12.75">
      <c r="A56" s="4" t="s">
        <v>71</v>
      </c>
      <c r="B56" s="10"/>
      <c r="C56" s="10"/>
      <c r="F56" s="32">
        <f>SUM(F54:F55)</f>
        <v>561.12</v>
      </c>
      <c r="J56" s="20">
        <v>14</v>
      </c>
      <c r="K56" s="20" t="s">
        <v>161</v>
      </c>
      <c r="L56" s="25" t="s">
        <v>147</v>
      </c>
      <c r="M56" s="44">
        <f>2*21.9</f>
        <v>43.8</v>
      </c>
    </row>
    <row r="57" spans="1:13" ht="12.75">
      <c r="A57" s="4" t="s">
        <v>17</v>
      </c>
      <c r="B57" s="4"/>
      <c r="J57" s="20">
        <v>15</v>
      </c>
      <c r="K57" s="20" t="s">
        <v>162</v>
      </c>
      <c r="L57" s="25" t="s">
        <v>163</v>
      </c>
      <c r="M57" s="44">
        <f>4*234.58</f>
        <v>938.32</v>
      </c>
    </row>
    <row r="58" spans="1:13" ht="12.75">
      <c r="A58" t="s">
        <v>18</v>
      </c>
      <c r="C58" s="45">
        <v>1958853</v>
      </c>
      <c r="D58">
        <v>222433.7</v>
      </c>
      <c r="E58">
        <v>3422.5</v>
      </c>
      <c r="F58" s="34">
        <f>C58/D58*E58</f>
        <v>30140.101938240474</v>
      </c>
      <c r="J58" s="20">
        <v>16</v>
      </c>
      <c r="K58" s="20" t="s">
        <v>164</v>
      </c>
      <c r="L58" s="25" t="s">
        <v>163</v>
      </c>
      <c r="M58" s="44">
        <f>4*102.23</f>
        <v>408.92</v>
      </c>
    </row>
    <row r="59" spans="1:13" ht="12.75">
      <c r="A59" t="s">
        <v>19</v>
      </c>
      <c r="F59" s="34">
        <f>M20</f>
        <v>4432.690508400001</v>
      </c>
      <c r="J59" s="20">
        <v>17</v>
      </c>
      <c r="K59" s="20" t="s">
        <v>165</v>
      </c>
      <c r="L59" s="25" t="s">
        <v>147</v>
      </c>
      <c r="M59" s="44">
        <f>2*18.41</f>
        <v>36.82</v>
      </c>
    </row>
    <row r="60" spans="1:13" ht="12.75">
      <c r="A60" t="s">
        <v>20</v>
      </c>
      <c r="F60" s="11">
        <f>M39</f>
        <v>22445.123045184006</v>
      </c>
      <c r="J60" s="20">
        <v>18</v>
      </c>
      <c r="K60" s="20" t="s">
        <v>166</v>
      </c>
      <c r="L60" s="25" t="s">
        <v>167</v>
      </c>
      <c r="M60" s="44">
        <f>6*6.85</f>
        <v>41.099999999999994</v>
      </c>
    </row>
    <row r="61" spans="1:13" ht="12.75">
      <c r="A61" t="s">
        <v>72</v>
      </c>
      <c r="F61" s="5">
        <f>0*600*1.302</f>
        <v>0</v>
      </c>
      <c r="J61" s="20">
        <v>19</v>
      </c>
      <c r="K61" s="20" t="s">
        <v>168</v>
      </c>
      <c r="L61" s="25" t="s">
        <v>147</v>
      </c>
      <c r="M61" s="44">
        <f>2*11.86</f>
        <v>23.72</v>
      </c>
    </row>
    <row r="62" spans="1:13" ht="12.75">
      <c r="A62" t="s">
        <v>21</v>
      </c>
      <c r="F62" s="5">
        <f>M73</f>
        <v>8242.57</v>
      </c>
      <c r="J62" s="20">
        <v>20</v>
      </c>
      <c r="K62" s="20" t="s">
        <v>169</v>
      </c>
      <c r="L62" s="25" t="s">
        <v>147</v>
      </c>
      <c r="M62" s="44">
        <f>2*61.71</f>
        <v>123.42</v>
      </c>
    </row>
    <row r="63" spans="1:13" ht="12.75">
      <c r="A63" t="s">
        <v>22</v>
      </c>
      <c r="F63" s="5"/>
      <c r="J63" s="20">
        <v>21</v>
      </c>
      <c r="K63" s="20" t="s">
        <v>170</v>
      </c>
      <c r="L63" s="25" t="s">
        <v>138</v>
      </c>
      <c r="M63" s="44">
        <v>298.72</v>
      </c>
    </row>
    <row r="64" spans="1:13" ht="12.75">
      <c r="A64" t="s">
        <v>23</v>
      </c>
      <c r="F64" s="5"/>
      <c r="J64" s="20">
        <v>22</v>
      </c>
      <c r="K64" s="20" t="s">
        <v>171</v>
      </c>
      <c r="L64" s="25" t="s">
        <v>138</v>
      </c>
      <c r="M64" s="44">
        <v>22.41</v>
      </c>
    </row>
    <row r="65" spans="2:13" ht="12.75">
      <c r="B65">
        <v>3422.5</v>
      </c>
      <c r="C65" t="s">
        <v>13</v>
      </c>
      <c r="D65" s="11">
        <v>0.94</v>
      </c>
      <c r="E65" t="s">
        <v>14</v>
      </c>
      <c r="F65" s="5">
        <f>B65*D65</f>
        <v>3217.1499999999996</v>
      </c>
      <c r="J65" s="20">
        <v>23</v>
      </c>
      <c r="K65" s="20" t="s">
        <v>169</v>
      </c>
      <c r="L65" s="25" t="s">
        <v>147</v>
      </c>
      <c r="M65" s="44">
        <f>2*5.35</f>
        <v>10.7</v>
      </c>
    </row>
    <row r="66" spans="1:13" s="45" customFormat="1" ht="12.75">
      <c r="A66" s="51" t="s">
        <v>129</v>
      </c>
      <c r="B66" s="51"/>
      <c r="C66" s="51"/>
      <c r="D66" s="52"/>
      <c r="E66" s="51"/>
      <c r="F66" s="53">
        <v>0</v>
      </c>
      <c r="J66" s="20">
        <v>24</v>
      </c>
      <c r="K66" s="20" t="s">
        <v>172</v>
      </c>
      <c r="L66" s="25" t="s">
        <v>138</v>
      </c>
      <c r="M66" s="44">
        <v>13.62</v>
      </c>
    </row>
    <row r="67" spans="1:13" ht="12.75">
      <c r="A67" s="51" t="s">
        <v>83</v>
      </c>
      <c r="B67" s="51"/>
      <c r="C67" s="51"/>
      <c r="D67" s="52">
        <v>0.8</v>
      </c>
      <c r="E67" s="51"/>
      <c r="F67" s="53">
        <f>D67*E33</f>
        <v>2738</v>
      </c>
      <c r="J67" s="20">
        <v>25</v>
      </c>
      <c r="K67" s="20" t="s">
        <v>175</v>
      </c>
      <c r="L67" s="25" t="s">
        <v>138</v>
      </c>
      <c r="M67" s="44">
        <v>15.9</v>
      </c>
    </row>
    <row r="68" spans="1:13" ht="12.75">
      <c r="A68" s="4" t="s">
        <v>70</v>
      </c>
      <c r="B68" s="10"/>
      <c r="C68" s="10"/>
      <c r="F68" s="32">
        <f>SUM(F58:F67)</f>
        <v>71215.63549182448</v>
      </c>
      <c r="J68" s="20">
        <v>26</v>
      </c>
      <c r="K68" s="20" t="s">
        <v>177</v>
      </c>
      <c r="L68" s="25" t="s">
        <v>178</v>
      </c>
      <c r="M68" s="44">
        <f>50*11.48</f>
        <v>574</v>
      </c>
    </row>
    <row r="69" spans="1:13" ht="12.75">
      <c r="A69" s="4" t="s">
        <v>24</v>
      </c>
      <c r="J69" s="20">
        <v>27</v>
      </c>
      <c r="K69" s="20"/>
      <c r="L69" s="25"/>
      <c r="M69" s="44"/>
    </row>
    <row r="70" spans="1:13" ht="12.75">
      <c r="A70" t="s">
        <v>25</v>
      </c>
      <c r="B70">
        <v>3422.5</v>
      </c>
      <c r="C70" t="s">
        <v>69</v>
      </c>
      <c r="D70" s="5">
        <v>0.49</v>
      </c>
      <c r="E70" t="s">
        <v>14</v>
      </c>
      <c r="F70" s="11">
        <f>B70*D70</f>
        <v>1677.0249999999999</v>
      </c>
      <c r="J70" s="20">
        <v>28</v>
      </c>
      <c r="K70" s="20"/>
      <c r="L70" s="25"/>
      <c r="M70" s="44"/>
    </row>
    <row r="71" spans="1:13" ht="12.75">
      <c r="A71" t="s">
        <v>26</v>
      </c>
      <c r="F71" s="5"/>
      <c r="J71" s="20">
        <v>29</v>
      </c>
      <c r="K71" s="20"/>
      <c r="L71" s="25"/>
      <c r="M71" s="25"/>
    </row>
    <row r="72" spans="1:13" ht="12.75">
      <c r="A72" s="7" t="s">
        <v>73</v>
      </c>
      <c r="F72" s="5"/>
      <c r="J72" s="20">
        <v>30</v>
      </c>
      <c r="K72" s="20"/>
      <c r="L72" s="25"/>
      <c r="M72" s="25"/>
    </row>
    <row r="73" spans="2:13" ht="12.75">
      <c r="B73">
        <v>3422.5</v>
      </c>
      <c r="C73" t="s">
        <v>13</v>
      </c>
      <c r="D73" s="11">
        <v>2.56</v>
      </c>
      <c r="E73" t="s">
        <v>14</v>
      </c>
      <c r="F73" s="11">
        <f>B73*D73</f>
        <v>8761.6</v>
      </c>
      <c r="J73" s="20"/>
      <c r="K73" s="20"/>
      <c r="L73" s="31" t="s">
        <v>63</v>
      </c>
      <c r="M73" s="28">
        <f>SUM(M43:M72)</f>
        <v>8242.57</v>
      </c>
    </row>
    <row r="74" spans="1:6" ht="12.75">
      <c r="A74" s="4" t="s">
        <v>27</v>
      </c>
      <c r="F74" s="32">
        <f>F70+F73</f>
        <v>10438.625</v>
      </c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6.31</v>
      </c>
      <c r="E77" t="s">
        <v>14</v>
      </c>
      <c r="F77" s="5">
        <f>B77*D77</f>
        <v>21595.975</v>
      </c>
    </row>
    <row r="78" spans="1:6" ht="12.75">
      <c r="A78" s="4" t="s">
        <v>30</v>
      </c>
      <c r="F78" s="32">
        <f>SUM(F77)</f>
        <v>21595.975</v>
      </c>
    </row>
    <row r="79" spans="1:6" ht="12.75">
      <c r="A79" s="55" t="s">
        <v>77</v>
      </c>
      <c r="B79" s="51"/>
      <c r="C79" s="51"/>
      <c r="D79" s="53">
        <v>2.26</v>
      </c>
      <c r="E79" s="51"/>
      <c r="F79" s="56">
        <f>D79*E33</f>
        <v>7734.849999999999</v>
      </c>
    </row>
    <row r="80" spans="1:6" ht="12.75">
      <c r="A80" s="1" t="s">
        <v>31</v>
      </c>
      <c r="B80" s="1"/>
      <c r="F80" s="32">
        <f>F52+F56+F68+F74+F78+F79</f>
        <v>141775.7804918245</v>
      </c>
    </row>
    <row r="81" spans="1:13" ht="12.75">
      <c r="A81" s="1" t="s">
        <v>75</v>
      </c>
      <c r="B81" s="35"/>
      <c r="C81" s="35">
        <v>0.058</v>
      </c>
      <c r="D81" s="1"/>
      <c r="E81" s="1"/>
      <c r="F81" s="32">
        <f>F80*5.8%</f>
        <v>8222.99526852582</v>
      </c>
      <c r="I81" s="7"/>
      <c r="J81" s="45"/>
      <c r="K81" s="45"/>
      <c r="L81" s="45"/>
      <c r="M81" s="45"/>
    </row>
    <row r="82" spans="1:9" ht="12.75">
      <c r="A82" s="1"/>
      <c r="B82" s="35" t="s">
        <v>126</v>
      </c>
      <c r="C82" s="35"/>
      <c r="D82" s="1"/>
      <c r="E82" s="49"/>
      <c r="F82" s="50">
        <f>1431.72+564.54</f>
        <v>1996.26</v>
      </c>
      <c r="I82" s="7"/>
    </row>
    <row r="83" spans="1:9" ht="12.75">
      <c r="A83" s="1"/>
      <c r="B83" s="35" t="s">
        <v>127</v>
      </c>
      <c r="C83" s="35"/>
      <c r="D83" s="1"/>
      <c r="E83" s="49"/>
      <c r="F83" s="50">
        <f>688.17+688.17</f>
        <v>1376.34</v>
      </c>
      <c r="I83" s="7"/>
    </row>
    <row r="84" spans="1:9" ht="12.75">
      <c r="A84" s="1"/>
      <c r="B84" s="35" t="s">
        <v>128</v>
      </c>
      <c r="C84" s="35"/>
      <c r="D84" s="1"/>
      <c r="E84" s="49"/>
      <c r="F84" s="50">
        <f>3054.64+3054.64</f>
        <v>6109.28</v>
      </c>
      <c r="I84" s="7"/>
    </row>
    <row r="85" spans="1:6" ht="15">
      <c r="A85" s="12" t="s">
        <v>33</v>
      </c>
      <c r="B85" s="12"/>
      <c r="C85" s="12"/>
      <c r="D85" s="12"/>
      <c r="E85" s="12"/>
      <c r="F85" s="41">
        <f>F80+F81+F82+F83+F84</f>
        <v>159480.65576035032</v>
      </c>
    </row>
    <row r="86" spans="2:6" ht="12.75">
      <c r="B86" s="36" t="s">
        <v>65</v>
      </c>
      <c r="C86" s="37" t="s">
        <v>66</v>
      </c>
      <c r="D86" s="22" t="s">
        <v>67</v>
      </c>
      <c r="E86" s="22" t="s">
        <v>68</v>
      </c>
      <c r="F86" s="40" t="s">
        <v>135</v>
      </c>
    </row>
    <row r="87" spans="1:6" ht="12.75">
      <c r="A87" s="13"/>
      <c r="B87" s="38">
        <v>45597</v>
      </c>
      <c r="C87" s="39">
        <v>-302140</v>
      </c>
      <c r="D87" s="42">
        <f>F44</f>
        <v>151394.57</v>
      </c>
      <c r="E87" s="42">
        <f>F85</f>
        <v>159480.65576035032</v>
      </c>
      <c r="F87" s="43">
        <f>C87+D87-E87</f>
        <v>-310226.08576035034</v>
      </c>
    </row>
    <row r="89" spans="1:6" ht="13.5" thickBot="1">
      <c r="A89" t="s">
        <v>110</v>
      </c>
      <c r="C89" s="47" t="s">
        <v>134</v>
      </c>
      <c r="D89" s="8" t="s">
        <v>111</v>
      </c>
      <c r="E89" s="47">
        <v>45291</v>
      </c>
      <c r="F89" t="s">
        <v>112</v>
      </c>
    </row>
    <row r="90" spans="1:7" ht="13.5" thickBot="1">
      <c r="A90" t="s">
        <v>113</v>
      </c>
      <c r="F90" s="48">
        <f>E87</f>
        <v>159480.65576035032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2023-01-12T16:42:15Z</cp:lastPrinted>
  <dcterms:created xsi:type="dcterms:W3CDTF">2008-08-18T07:30:19Z</dcterms:created>
  <dcterms:modified xsi:type="dcterms:W3CDTF">2024-02-27T08:10:30Z</dcterms:modified>
  <cp:category/>
  <cp:version/>
  <cp:contentType/>
  <cp:contentStatus/>
</cp:coreProperties>
</file>