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<sst xmlns="http://schemas.openxmlformats.org/spreadsheetml/2006/main" count="208" uniqueCount="180">
  <si>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</si>
  <si>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</si>
  <si>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</si>
  <si>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</si>
  <si>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</si>
  <si>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</si>
  <si>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</si>
  <si>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</si>
  <si>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</si>
  <si>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</si>
  <si>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</si>
  <si>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</si>
  <si>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</si>
  <si>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</si>
  <si>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</si>
  <si>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</si>
  <si>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</si>
  <si>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</si>
  <si>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</si>
  <si>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</si>
  <si>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</si>
  <si>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</si>
  <si>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</si>
  <si>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</si>
  <si>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</si>
  <si>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</si>
  <si>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</si>
  <si>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</si>
  <si>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</si>
  <si>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</si>
  <si>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</si>
  <si>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</si>
  <si>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</si>
  <si>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</si>
  <si>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</si>
  <si>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</si>
  <si>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</si>
  <si>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</si>
  <si>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</si>
  <si>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</si>
  <si>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</si>
  <si>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</si>
  <si>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</si>
  <si>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</si>
  <si>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</si>
  <si>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</si>
  <si>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</si>
  <si>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</si>
  <si>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</si>
  <si>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</si>
  <si>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</si>
  <si>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</si>
  <si>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</si>
  <si>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</si>
  <si>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</si>
  <si>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</si>
  <si>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</si>
  <si>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</si>
  <si>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</si>
  <si>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</si>
  <si>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</si>
  <si>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</si>
  <si>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</si>
  <si>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</si>
  <si>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</si>
  <si>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</si>
  <si>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</si>
  <si>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</si>
  <si>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</si>
  <si>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</si>
  <si>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</si>
  <si>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</si>
  <si>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</si>
  <si>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</si>
  <si>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</si>
  <si>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</si>
  <si>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</si>
  <si>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</si>
  <si>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</si>
  <si>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</si>
  <si>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</si>
  <si>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</si>
  <si>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</si>
  <si>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</si>
  <si>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</si>
  <si>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</si>
  <si>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</si>
  <si>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</si>
  <si>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</si>
  <si>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</si>
  <si>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</si>
  <si>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</si>
  <si>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</si>
  <si>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</si>
  <si>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</si>
  <si>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</si>
  <si>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</si>
  <si>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</si>
  <si>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</si>
  <si>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</si>
  <si>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</si>
  <si>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</si>
  <si>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</si>
  <si>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</si>
  <si>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</si>
  <si>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</si>
  <si>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</si>
  <si>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</si>
  <si>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</si>
  <si>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</si>
  <si>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</si>
  <si>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</si>
  <si>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</si>
  <si>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</si>
  <si>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</si>
  <si>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</si>
  <si>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</si>
  <si>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</si>
  <si>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</si>
  <si>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</si>
  <si>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</si>
  <si>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</si>
  <si>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</si>
  <si>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</si>
  <si>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</si>
  <si>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</si>
  <si>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</si>
  <si>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</si>
  <si>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</si>
  <si>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</si>
  <si>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</si>
  <si>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</si>
  <si>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 xml:space="preserve"> Страховка</t>
  </si>
  <si>
    <t>2023 г.</t>
  </si>
  <si>
    <r>
      <t xml:space="preserve">1.2 Аренда </t>
    </r>
    <r>
      <rPr>
        <sz val="8"/>
        <rFont val="Arial Cyr"/>
        <family val="0"/>
      </rPr>
      <t>(ТТК,МТС, Ростелеком, Продвижение)</t>
    </r>
  </si>
  <si>
    <t>расходы на одн по эл.эн.</t>
  </si>
  <si>
    <t>расходы на одн по хвс</t>
  </si>
  <si>
    <t>расходы на одн по гвс</t>
  </si>
  <si>
    <t>августа</t>
  </si>
  <si>
    <t>за   июль-август  2023 г.</t>
  </si>
  <si>
    <t>01.07.2023г.</t>
  </si>
  <si>
    <t>ост.на 01.09</t>
  </si>
  <si>
    <t xml:space="preserve">смена задвижки (1шт) </t>
  </si>
  <si>
    <t xml:space="preserve">смена фланца д 50 (1шт) </t>
  </si>
  <si>
    <t xml:space="preserve">задвижка д. 50 </t>
  </si>
  <si>
    <t>1шт</t>
  </si>
  <si>
    <t>болт, гайки</t>
  </si>
  <si>
    <t>16шт</t>
  </si>
  <si>
    <t>фланец 50</t>
  </si>
  <si>
    <t>окраска тамбура  п-д 1,2,3,4</t>
  </si>
  <si>
    <t>грунт-эмаль</t>
  </si>
  <si>
    <t>15кг</t>
  </si>
  <si>
    <t>краска белая</t>
  </si>
  <si>
    <t>8,7 кг</t>
  </si>
  <si>
    <t xml:space="preserve">краска </t>
  </si>
  <si>
    <t>30кг</t>
  </si>
  <si>
    <t>кисть</t>
  </si>
  <si>
    <t>3шт</t>
  </si>
  <si>
    <t>ремонт контейнерных баков</t>
  </si>
  <si>
    <t>материал для ремонта контейнерных баков</t>
  </si>
  <si>
    <t>завоз песка в песочницу, разгрузка</t>
  </si>
  <si>
    <t>песок речной</t>
  </si>
  <si>
    <t>2м3</t>
  </si>
  <si>
    <t>установка стендов</t>
  </si>
  <si>
    <t>саморез</t>
  </si>
  <si>
    <t>40шт</t>
  </si>
  <si>
    <t>дюбель</t>
  </si>
  <si>
    <t>прочистка канализации</t>
  </si>
  <si>
    <t>ремонт швов (договор)</t>
  </si>
  <si>
    <t>смена замка (2шт) п-д2,3</t>
  </si>
  <si>
    <t>замок</t>
  </si>
  <si>
    <t>2шт</t>
  </si>
  <si>
    <t>мастика шовная</t>
  </si>
  <si>
    <t>4шт</t>
  </si>
  <si>
    <t>пена</t>
  </si>
  <si>
    <t>установка ручек (2шт) п-д4</t>
  </si>
  <si>
    <t>ручка</t>
  </si>
  <si>
    <t>8шт</t>
  </si>
  <si>
    <t>ремонт канал.стыков герметиком</t>
  </si>
  <si>
    <t>герметик силиконовый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</si>
</sst>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00000000"/>
    <numFmt numFmtId="190" formatCode="0.0%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" fillId="33" borderId="0" xfId="0" applyFont="1" applyFill="1" applyAlignment="1">
      <alignment/>
    </xf>
    <xf numFmtId="1" fontId="1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28">
      <selection activeCell="M63" sqref="M63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ht="12.75">
      <c r="K1" t="s">
        <v>59</v>
      </c>
    </row>
    <row r="2" spans="3:11" ht="12.75">
      <c r="C2" s="1" t="s">
        <v>89</v>
      </c>
      <c r="D2" s="62">
        <v>7</v>
      </c>
      <c r="E2" s="61">
        <v>8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31</v>
      </c>
      <c r="F5" s="8" t="s">
        <v>138</v>
      </c>
      <c r="G5" s="8" t="s">
        <v>133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49">
        <f>L6*524.58*1.302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49">
        <f aca="true" t="shared" si="0" ref="M7:M19">L7*524.58*1.302</f>
        <v>0</v>
      </c>
    </row>
    <row r="8" spans="10:13" ht="12.75">
      <c r="J8" s="15"/>
      <c r="K8" s="15" t="s">
        <v>38</v>
      </c>
      <c r="L8" s="21"/>
      <c r="M8" s="49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49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49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0</v>
      </c>
      <c r="M11" s="49">
        <f t="shared" si="0"/>
        <v>0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49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49">
        <f t="shared" si="0"/>
        <v>3599.4266532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24.25</v>
      </c>
      <c r="M14" s="49">
        <f t="shared" si="0"/>
        <v>16562.82663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49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49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0</v>
      </c>
      <c r="M17" s="49">
        <f t="shared" si="0"/>
        <v>0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49">
        <f t="shared" si="0"/>
        <v>2458.8113760000006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49">
        <f t="shared" si="0"/>
        <v>341.50158000000005</v>
      </c>
    </row>
    <row r="20" spans="1:13" ht="12.75">
      <c r="A20" t="s">
        <v>106</v>
      </c>
      <c r="J20" s="20"/>
      <c r="K20" s="27" t="s">
        <v>51</v>
      </c>
      <c r="L20" s="28">
        <f>SUM(L6:L19)</f>
        <v>33.62</v>
      </c>
      <c r="M20" s="32">
        <f>SUM(M6:M19)</f>
        <v>22962.5662392</v>
      </c>
    </row>
    <row r="21" spans="1:11" ht="12.75">
      <c r="A21" t="s">
        <v>131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4" t="s">
        <v>142</v>
      </c>
      <c r="L24" s="25">
        <v>4.22</v>
      </c>
      <c r="M24" s="49">
        <f aca="true" t="shared" si="1" ref="M24:M41">L24*524.58*1.302</f>
        <v>2882.2733352000005</v>
      </c>
    </row>
    <row r="25" spans="1:13" ht="12.75">
      <c r="A25" t="s">
        <v>110</v>
      </c>
      <c r="J25" s="23">
        <v>2</v>
      </c>
      <c r="K25" s="34" t="s">
        <v>143</v>
      </c>
      <c r="L25" s="49">
        <v>1.79</v>
      </c>
      <c r="M25" s="49">
        <f t="shared" si="1"/>
        <v>1222.5756564000003</v>
      </c>
    </row>
    <row r="26" spans="1:13" ht="12.75">
      <c r="A26" t="s">
        <v>111</v>
      </c>
      <c r="J26" s="23">
        <v>3</v>
      </c>
      <c r="K26" s="34" t="s">
        <v>149</v>
      </c>
      <c r="L26" s="54">
        <v>18.25</v>
      </c>
      <c r="M26" s="49">
        <f t="shared" si="1"/>
        <v>12464.807670000002</v>
      </c>
    </row>
    <row r="27" spans="1:13" ht="12.75">
      <c r="A27" t="s">
        <v>112</v>
      </c>
      <c r="J27" s="23">
        <v>4</v>
      </c>
      <c r="K27" s="34" t="s">
        <v>158</v>
      </c>
      <c r="L27" s="25">
        <v>0.2</v>
      </c>
      <c r="M27" s="49">
        <f t="shared" si="1"/>
        <v>136.60063200000002</v>
      </c>
    </row>
    <row r="28" spans="1:13" ht="12.75">
      <c r="A28" s="53" t="s">
        <v>113</v>
      </c>
      <c r="B28" s="53"/>
      <c r="C28" s="53"/>
      <c r="D28" s="53"/>
      <c r="E28" s="53"/>
      <c r="F28" s="53"/>
      <c r="G28" s="53"/>
      <c r="J28" s="23">
        <v>5</v>
      </c>
      <c r="K28" s="34" t="s">
        <v>160</v>
      </c>
      <c r="L28" s="25">
        <v>5</v>
      </c>
      <c r="M28" s="49">
        <f t="shared" si="1"/>
        <v>3415.0158</v>
      </c>
    </row>
    <row r="29" spans="1:13" ht="12.75">
      <c r="A29" t="s">
        <v>114</v>
      </c>
      <c r="B29" s="1"/>
      <c r="C29" s="1"/>
      <c r="D29" s="1"/>
      <c r="J29" s="23">
        <v>6</v>
      </c>
      <c r="K29" s="34" t="s">
        <v>163</v>
      </c>
      <c r="L29" s="23">
        <v>2.12</v>
      </c>
      <c r="M29" s="49">
        <f t="shared" si="1"/>
        <v>1447.9666992000004</v>
      </c>
    </row>
    <row r="30" spans="10:13" ht="12.75">
      <c r="J30" s="23">
        <v>7</v>
      </c>
      <c r="K30" s="34" t="s">
        <v>167</v>
      </c>
      <c r="L30" s="48">
        <f>0.15*32.2</f>
        <v>4.83</v>
      </c>
      <c r="M30" s="49">
        <f t="shared" si="1"/>
        <v>3298.9052628000004</v>
      </c>
    </row>
    <row r="31" spans="2:13" ht="12.75">
      <c r="B31" t="s">
        <v>0</v>
      </c>
      <c r="J31" s="23">
        <v>8</v>
      </c>
      <c r="K31" s="34" t="s">
        <v>168</v>
      </c>
      <c r="L31" s="25"/>
      <c r="M31" s="49">
        <v>56500</v>
      </c>
    </row>
    <row r="32" spans="10:13" ht="12.75">
      <c r="J32" s="23">
        <v>9</v>
      </c>
      <c r="K32" s="34" t="s">
        <v>169</v>
      </c>
      <c r="L32" s="25">
        <f>2*1.07</f>
        <v>2.14</v>
      </c>
      <c r="M32" s="49">
        <f t="shared" si="1"/>
        <v>1461.6267624000002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4" t="s">
        <v>175</v>
      </c>
      <c r="L33" s="25">
        <v>2</v>
      </c>
      <c r="M33" s="49">
        <f t="shared" si="1"/>
        <v>1366.0063200000002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4" t="s">
        <v>178</v>
      </c>
      <c r="L34" s="25">
        <v>1.5</v>
      </c>
      <c r="M34" s="49">
        <f t="shared" si="1"/>
        <v>1024.50474</v>
      </c>
    </row>
    <row r="35" spans="1:13" ht="12.75">
      <c r="A35" t="s">
        <v>3</v>
      </c>
      <c r="J35" s="23">
        <v>12</v>
      </c>
      <c r="K35" s="34"/>
      <c r="L35" s="25"/>
      <c r="M35" s="49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3">
        <v>13</v>
      </c>
      <c r="K36" s="34"/>
      <c r="L36" s="25"/>
      <c r="M36" s="49">
        <f t="shared" si="1"/>
        <v>0</v>
      </c>
    </row>
    <row r="37" spans="10:13" ht="12.75">
      <c r="J37" s="23">
        <v>14</v>
      </c>
      <c r="K37" s="34"/>
      <c r="L37" s="25"/>
      <c r="M37" s="49">
        <f t="shared" si="1"/>
        <v>0</v>
      </c>
    </row>
    <row r="38" spans="2:13" ht="12.75">
      <c r="B38" s="1" t="s">
        <v>5</v>
      </c>
      <c r="C38" s="1"/>
      <c r="J38" s="23">
        <v>15</v>
      </c>
      <c r="K38" s="34"/>
      <c r="L38" s="25"/>
      <c r="M38" s="49">
        <f t="shared" si="1"/>
        <v>0</v>
      </c>
    </row>
    <row r="39" spans="10:13" ht="12.75">
      <c r="J39" s="23">
        <v>16</v>
      </c>
      <c r="K39" s="34"/>
      <c r="L39" s="25"/>
      <c r="M39" s="49">
        <f t="shared" si="1"/>
        <v>0</v>
      </c>
    </row>
    <row r="40" spans="1:13" ht="12.75">
      <c r="A40" s="2" t="s">
        <v>6</v>
      </c>
      <c r="F40" s="11">
        <v>473169.06</v>
      </c>
      <c r="J40" s="23">
        <v>17</v>
      </c>
      <c r="K40" s="34"/>
      <c r="L40" s="25"/>
      <c r="M40" s="49">
        <f t="shared" si="1"/>
        <v>0</v>
      </c>
    </row>
    <row r="41" spans="1:13" ht="12.75">
      <c r="A41" t="s">
        <v>7</v>
      </c>
      <c r="F41" s="5">
        <v>461195.37</v>
      </c>
      <c r="J41" s="23">
        <v>18</v>
      </c>
      <c r="K41" s="34"/>
      <c r="L41" s="25"/>
      <c r="M41" s="49">
        <f t="shared" si="1"/>
        <v>0</v>
      </c>
    </row>
    <row r="42" spans="2:13" ht="12.75">
      <c r="B42" t="s">
        <v>8</v>
      </c>
      <c r="F42" s="9">
        <f>F41/F40</f>
        <v>0.9746946894625781</v>
      </c>
      <c r="J42" s="20"/>
      <c r="K42" s="30" t="s">
        <v>51</v>
      </c>
      <c r="L42" s="28">
        <f>SUM(L24:L41)</f>
        <v>42.05</v>
      </c>
      <c r="M42" s="32">
        <f>SUM(M24:M41)</f>
        <v>85220.28287800001</v>
      </c>
    </row>
    <row r="43" spans="1:11" ht="12.75">
      <c r="A43" t="s">
        <v>134</v>
      </c>
      <c r="F43" s="5">
        <f>400+300+400+600</f>
        <v>1700</v>
      </c>
      <c r="K43" s="1" t="s">
        <v>55</v>
      </c>
    </row>
    <row r="44" spans="1:13" ht="12.75">
      <c r="A44" s="3" t="s">
        <v>9</v>
      </c>
      <c r="B44" s="3"/>
      <c r="C44" s="3"/>
      <c r="D44" s="3"/>
      <c r="E44" s="1"/>
      <c r="F44" s="33">
        <f>F41+F43</f>
        <v>462895.37</v>
      </c>
      <c r="J44" s="22" t="s">
        <v>29</v>
      </c>
      <c r="K44" s="22"/>
      <c r="L44" s="22" t="s">
        <v>56</v>
      </c>
      <c r="M44" s="22" t="s">
        <v>35</v>
      </c>
    </row>
    <row r="45" spans="2:13" ht="12.75">
      <c r="B45" s="1" t="s">
        <v>10</v>
      </c>
      <c r="C45" s="1"/>
      <c r="J45" s="23" t="s">
        <v>30</v>
      </c>
      <c r="K45" s="23" t="s">
        <v>31</v>
      </c>
      <c r="L45" s="23"/>
      <c r="M45" s="23" t="s">
        <v>57</v>
      </c>
    </row>
    <row r="46" spans="10:13" ht="12.75">
      <c r="J46" s="23">
        <v>1</v>
      </c>
      <c r="K46" s="34" t="s">
        <v>144</v>
      </c>
      <c r="L46" s="23" t="s">
        <v>145</v>
      </c>
      <c r="M46" s="23">
        <v>3.22</v>
      </c>
    </row>
    <row r="47" spans="1:13" ht="12.75">
      <c r="A47" s="4" t="s">
        <v>11</v>
      </c>
      <c r="B47" s="4"/>
      <c r="C47" s="4"/>
      <c r="D47" s="4"/>
      <c r="E47" s="4"/>
      <c r="F47" s="4"/>
      <c r="J47" s="25">
        <v>2</v>
      </c>
      <c r="K47" s="34" t="s">
        <v>146</v>
      </c>
      <c r="L47" s="23" t="s">
        <v>147</v>
      </c>
      <c r="M47" s="23">
        <f>8*20.3+8*7</f>
        <v>218.4</v>
      </c>
    </row>
    <row r="48" spans="1:13" ht="12.75">
      <c r="A48" t="s">
        <v>12</v>
      </c>
      <c r="F48" s="11">
        <f>(11235+11234)*1.302</f>
        <v>29254.638000000003</v>
      </c>
      <c r="J48" s="25">
        <v>3</v>
      </c>
      <c r="K48" s="34" t="s">
        <v>148</v>
      </c>
      <c r="L48" s="23" t="s">
        <v>145</v>
      </c>
      <c r="M48" s="23">
        <v>658</v>
      </c>
    </row>
    <row r="49" spans="1:13" ht="12.75">
      <c r="A49" s="6" t="s">
        <v>15</v>
      </c>
      <c r="F49" s="11">
        <f>(13740+13740)*1.302</f>
        <v>35778.96</v>
      </c>
      <c r="J49" s="25">
        <v>4</v>
      </c>
      <c r="K49" s="34" t="s">
        <v>150</v>
      </c>
      <c r="L49" s="23" t="s">
        <v>151</v>
      </c>
      <c r="M49" s="23">
        <f>3*800</f>
        <v>2400</v>
      </c>
    </row>
    <row r="50" spans="1:13" ht="12.75">
      <c r="A50" s="57" t="s">
        <v>87</v>
      </c>
      <c r="B50" s="55"/>
      <c r="C50" s="55"/>
      <c r="D50" s="55"/>
      <c r="E50" s="56">
        <v>0</v>
      </c>
      <c r="F50" s="58">
        <f>E33*E50</f>
        <v>0</v>
      </c>
      <c r="J50" s="25">
        <v>5</v>
      </c>
      <c r="K50" s="38" t="s">
        <v>154</v>
      </c>
      <c r="L50" s="23" t="s">
        <v>153</v>
      </c>
      <c r="M50" s="23">
        <f>8.7*321.5</f>
        <v>2797.0499999999997</v>
      </c>
    </row>
    <row r="51" spans="1:13" ht="12.75">
      <c r="A51" s="10" t="s">
        <v>27</v>
      </c>
      <c r="D51" s="5"/>
      <c r="F51" s="33">
        <f>F48+F49+F50</f>
        <v>65033.598</v>
      </c>
      <c r="J51" s="25">
        <v>6</v>
      </c>
      <c r="K51" s="38" t="s">
        <v>152</v>
      </c>
      <c r="L51" s="23" t="s">
        <v>155</v>
      </c>
      <c r="M51" s="23">
        <f>30*405.5</f>
        <v>12165</v>
      </c>
    </row>
    <row r="52" spans="1:13" ht="12.75">
      <c r="A52" s="4" t="s">
        <v>16</v>
      </c>
      <c r="D52" s="5"/>
      <c r="J52" s="25">
        <v>7</v>
      </c>
      <c r="K52" s="38" t="s">
        <v>156</v>
      </c>
      <c r="L52" s="23" t="s">
        <v>157</v>
      </c>
      <c r="M52" s="23">
        <f>3*311.5</f>
        <v>934.5</v>
      </c>
    </row>
    <row r="53" spans="1:13" ht="12.75">
      <c r="A53" t="s">
        <v>75</v>
      </c>
      <c r="C53" s="13"/>
      <c r="D53" s="47">
        <v>0</v>
      </c>
      <c r="E53" s="13" t="s">
        <v>14</v>
      </c>
      <c r="F53" s="11">
        <f>E33*D53</f>
        <v>0</v>
      </c>
      <c r="J53" s="25">
        <v>8</v>
      </c>
      <c r="K53" s="38" t="s">
        <v>159</v>
      </c>
      <c r="L53" s="23"/>
      <c r="M53" s="23">
        <v>506</v>
      </c>
    </row>
    <row r="54" spans="1:13" ht="12.75">
      <c r="A54" t="s">
        <v>83</v>
      </c>
      <c r="B54">
        <v>1194.8</v>
      </c>
      <c r="C54" t="s">
        <v>13</v>
      </c>
      <c r="D54" s="5">
        <v>0</v>
      </c>
      <c r="E54" t="s">
        <v>14</v>
      </c>
      <c r="F54" s="11">
        <f>B54*D54</f>
        <v>0</v>
      </c>
      <c r="J54" s="25">
        <v>9</v>
      </c>
      <c r="K54" s="38" t="s">
        <v>161</v>
      </c>
      <c r="L54" s="23" t="s">
        <v>162</v>
      </c>
      <c r="M54" s="23">
        <f>2*1852</f>
        <v>3704</v>
      </c>
    </row>
    <row r="55" spans="1:13" ht="12.75">
      <c r="A55" s="10" t="s">
        <v>17</v>
      </c>
      <c r="B55" s="10"/>
      <c r="C55" s="10"/>
      <c r="F55" s="33">
        <f>SUM(F53:F54)</f>
        <v>0</v>
      </c>
      <c r="J55" s="25">
        <v>10</v>
      </c>
      <c r="K55" s="38" t="s">
        <v>164</v>
      </c>
      <c r="L55" s="23" t="s">
        <v>165</v>
      </c>
      <c r="M55" s="23">
        <f>40*0.93</f>
        <v>37.2</v>
      </c>
    </row>
    <row r="56" spans="1:13" ht="12.75">
      <c r="A56" s="4" t="s">
        <v>60</v>
      </c>
      <c r="J56" s="25">
        <v>11</v>
      </c>
      <c r="K56" s="38" t="s">
        <v>166</v>
      </c>
      <c r="L56" s="23" t="s">
        <v>165</v>
      </c>
      <c r="M56" s="23">
        <f>40*1.7</f>
        <v>68</v>
      </c>
    </row>
    <row r="57" spans="1:13" ht="12.75">
      <c r="A57" t="s">
        <v>68</v>
      </c>
      <c r="B57" s="10">
        <v>4</v>
      </c>
      <c r="D57" s="5">
        <v>6405</v>
      </c>
      <c r="F57" s="63">
        <f>B57*D57*2</f>
        <v>51240</v>
      </c>
      <c r="J57" s="25">
        <v>12</v>
      </c>
      <c r="K57" s="38" t="s">
        <v>170</v>
      </c>
      <c r="L57" s="23" t="s">
        <v>171</v>
      </c>
      <c r="M57" s="23">
        <f>2*368.14</f>
        <v>736.28</v>
      </c>
    </row>
    <row r="58" spans="1:13" ht="12.75">
      <c r="A58" s="55" t="s">
        <v>132</v>
      </c>
      <c r="B58" s="64"/>
      <c r="C58" s="55"/>
      <c r="D58" s="56"/>
      <c r="E58" s="55"/>
      <c r="F58" s="56">
        <v>0</v>
      </c>
      <c r="J58" s="25">
        <v>13</v>
      </c>
      <c r="K58" s="38" t="s">
        <v>172</v>
      </c>
      <c r="L58" s="23" t="s">
        <v>173</v>
      </c>
      <c r="M58" s="23">
        <f>4*1294</f>
        <v>5176</v>
      </c>
    </row>
    <row r="59" spans="1:13" ht="12.75">
      <c r="A59" s="10" t="s">
        <v>64</v>
      </c>
      <c r="F59" s="8">
        <f>SUM(F57+F58)</f>
        <v>51240</v>
      </c>
      <c r="J59" s="25">
        <v>14</v>
      </c>
      <c r="K59" s="38" t="s">
        <v>174</v>
      </c>
      <c r="L59" s="23" t="s">
        <v>171</v>
      </c>
      <c r="M59" s="23">
        <f>2*544</f>
        <v>1088</v>
      </c>
    </row>
    <row r="60" spans="1:13" ht="12.75">
      <c r="A60" s="4" t="s">
        <v>61</v>
      </c>
      <c r="B60" s="4"/>
      <c r="F60" s="5"/>
      <c r="J60" s="25">
        <v>15</v>
      </c>
      <c r="K60" s="38" t="s">
        <v>176</v>
      </c>
      <c r="L60" s="23" t="s">
        <v>171</v>
      </c>
      <c r="M60" s="23">
        <f>2*155</f>
        <v>310</v>
      </c>
    </row>
    <row r="61" spans="1:13" ht="12.75">
      <c r="A61" t="s">
        <v>18</v>
      </c>
      <c r="C61" s="50">
        <v>1958853</v>
      </c>
      <c r="D61">
        <v>222433.7</v>
      </c>
      <c r="E61">
        <v>9983.4</v>
      </c>
      <c r="F61" s="35">
        <f>C61/D61*E61</f>
        <v>87918.39114396783</v>
      </c>
      <c r="J61" s="25">
        <v>16</v>
      </c>
      <c r="K61" s="38" t="s">
        <v>164</v>
      </c>
      <c r="L61" s="23" t="s">
        <v>177</v>
      </c>
      <c r="M61" s="23">
        <f>8*2.8</f>
        <v>22.4</v>
      </c>
    </row>
    <row r="62" spans="1:13" ht="12.75">
      <c r="A62" t="s">
        <v>19</v>
      </c>
      <c r="F62" s="35">
        <f>M20</f>
        <v>22962.5662392</v>
      </c>
      <c r="J62" s="25">
        <v>17</v>
      </c>
      <c r="K62" s="38" t="s">
        <v>179</v>
      </c>
      <c r="L62" s="23" t="s">
        <v>145</v>
      </c>
      <c r="M62" s="23">
        <v>295</v>
      </c>
    </row>
    <row r="63" spans="1:13" ht="12.75">
      <c r="A63" t="s">
        <v>20</v>
      </c>
      <c r="F63" s="11">
        <f>M42</f>
        <v>85220.28287800001</v>
      </c>
      <c r="J63" s="25">
        <v>18</v>
      </c>
      <c r="K63" s="38"/>
      <c r="L63" s="23"/>
      <c r="M63" s="23"/>
    </row>
    <row r="64" spans="1:13" ht="12.75">
      <c r="A64" t="s">
        <v>73</v>
      </c>
      <c r="F64" s="11">
        <f>3*600*1.302</f>
        <v>2343.6</v>
      </c>
      <c r="J64" s="25">
        <v>19</v>
      </c>
      <c r="K64" s="38"/>
      <c r="L64" s="23"/>
      <c r="M64" s="23"/>
    </row>
    <row r="65" spans="1:13" ht="12.75">
      <c r="A65" t="s">
        <v>21</v>
      </c>
      <c r="F65" s="11">
        <f>M69</f>
        <v>31119.05</v>
      </c>
      <c r="J65" s="25">
        <v>20</v>
      </c>
      <c r="K65" s="38"/>
      <c r="L65" s="23"/>
      <c r="M65" s="23"/>
    </row>
    <row r="66" spans="1:13" ht="12.75">
      <c r="A66" t="s">
        <v>22</v>
      </c>
      <c r="F66" s="5"/>
      <c r="J66" s="25">
        <v>21</v>
      </c>
      <c r="K66" s="38"/>
      <c r="L66" s="23"/>
      <c r="M66" s="25"/>
    </row>
    <row r="67" spans="1:13" ht="12.75">
      <c r="A67" s="55" t="s">
        <v>79</v>
      </c>
      <c r="B67" s="55"/>
      <c r="C67" s="55"/>
      <c r="D67" s="55"/>
      <c r="E67" s="55"/>
      <c r="F67" s="56">
        <v>0</v>
      </c>
      <c r="J67" s="25">
        <v>22</v>
      </c>
      <c r="K67" s="38"/>
      <c r="L67" s="23"/>
      <c r="M67" s="23"/>
    </row>
    <row r="68" spans="1:13" ht="12.75">
      <c r="A68" t="s">
        <v>23</v>
      </c>
      <c r="F68" s="5"/>
      <c r="J68" s="25">
        <v>23</v>
      </c>
      <c r="K68" s="38"/>
      <c r="L68" s="23"/>
      <c r="M68" s="23"/>
    </row>
    <row r="69" spans="2:13" ht="12.75">
      <c r="B69">
        <v>9983.4</v>
      </c>
      <c r="C69" t="s">
        <v>13</v>
      </c>
      <c r="D69" s="11">
        <v>1.2</v>
      </c>
      <c r="E69" t="s">
        <v>14</v>
      </c>
      <c r="F69" s="11">
        <f>B69*D69</f>
        <v>11980.08</v>
      </c>
      <c r="J69" s="20"/>
      <c r="K69" s="20"/>
      <c r="L69" s="31" t="s">
        <v>58</v>
      </c>
      <c r="M69" s="32">
        <f>SUM(M46:M68)</f>
        <v>31119.05</v>
      </c>
    </row>
    <row r="70" spans="1:10" ht="12.75">
      <c r="A70" s="55" t="s">
        <v>88</v>
      </c>
      <c r="B70" s="55"/>
      <c r="C70" s="55"/>
      <c r="D70" s="58">
        <v>0</v>
      </c>
      <c r="E70" s="55"/>
      <c r="F70" s="58">
        <f>D70*E33</f>
        <v>0</v>
      </c>
      <c r="J70" s="45"/>
    </row>
    <row r="71" spans="1:10" ht="12.75">
      <c r="A71" s="10" t="s">
        <v>65</v>
      </c>
      <c r="B71" s="10"/>
      <c r="C71" s="10"/>
      <c r="F71" s="33">
        <f>SUM(F61:F70)</f>
        <v>241543.97026116785</v>
      </c>
      <c r="J71" s="45"/>
    </row>
    <row r="72" spans="1:10" ht="12.75">
      <c r="A72" s="4" t="s">
        <v>62</v>
      </c>
      <c r="J72" s="45"/>
    </row>
    <row r="73" spans="1:10" ht="12.75">
      <c r="A73" t="s">
        <v>24</v>
      </c>
      <c r="B73">
        <v>9983.4</v>
      </c>
      <c r="C73" t="s">
        <v>77</v>
      </c>
      <c r="D73" s="5">
        <v>0.49</v>
      </c>
      <c r="E73" t="s">
        <v>14</v>
      </c>
      <c r="F73" s="11">
        <f>B73*D73</f>
        <v>4891.866</v>
      </c>
      <c r="J73" s="45"/>
    </row>
    <row r="74" spans="1:10" ht="12.75">
      <c r="A74" t="s">
        <v>25</v>
      </c>
      <c r="J74" s="45"/>
    </row>
    <row r="75" spans="1:10" ht="12.75">
      <c r="A75" s="7" t="s">
        <v>78</v>
      </c>
      <c r="J75" s="45"/>
    </row>
    <row r="76" spans="2:10" ht="12.75">
      <c r="B76">
        <v>9983.4</v>
      </c>
      <c r="C76" t="s">
        <v>13</v>
      </c>
      <c r="D76" s="11">
        <v>2.58</v>
      </c>
      <c r="E76" t="s">
        <v>14</v>
      </c>
      <c r="F76" s="11">
        <f>B76*D76</f>
        <v>25757.172</v>
      </c>
      <c r="J76" s="45"/>
    </row>
    <row r="77" spans="1:6" ht="12.75">
      <c r="A77" s="10" t="s">
        <v>66</v>
      </c>
      <c r="F77" s="33">
        <f>F73+F76</f>
        <v>30649.038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5.68</v>
      </c>
      <c r="E80" t="s">
        <v>14</v>
      </c>
      <c r="F80" s="11">
        <f>B80*D80</f>
        <v>56705.71199999999</v>
      </c>
    </row>
    <row r="81" spans="1:9" ht="12.75">
      <c r="A81" s="4" t="s">
        <v>67</v>
      </c>
      <c r="B81" s="1"/>
      <c r="F81" s="33">
        <f>SUM(F80)</f>
        <v>56705.71199999999</v>
      </c>
      <c r="I81" s="7"/>
    </row>
    <row r="82" spans="1:6" ht="12.75">
      <c r="A82" s="59" t="s">
        <v>82</v>
      </c>
      <c r="B82" s="55"/>
      <c r="C82" s="55"/>
      <c r="D82" s="56">
        <v>0</v>
      </c>
      <c r="E82" s="55"/>
      <c r="F82" s="60">
        <f>D82*E33</f>
        <v>0</v>
      </c>
    </row>
    <row r="83" spans="1:6" ht="12.75">
      <c r="A83" s="1" t="s">
        <v>26</v>
      </c>
      <c r="B83" s="1"/>
      <c r="F83" s="33">
        <f>F51+F55+F59+F71+F77+F81+F82</f>
        <v>445172.31826116785</v>
      </c>
    </row>
    <row r="84" spans="1:6" ht="12.75">
      <c r="A84" s="1" t="s">
        <v>80</v>
      </c>
      <c r="B84" s="37"/>
      <c r="C84" s="37">
        <v>0.058</v>
      </c>
      <c r="D84" s="1"/>
      <c r="E84" s="1"/>
      <c r="F84" s="33">
        <f>F83*5.8%</f>
        <v>25819.994459147732</v>
      </c>
    </row>
    <row r="85" spans="1:6" ht="15">
      <c r="A85" s="12" t="s">
        <v>28</v>
      </c>
      <c r="B85" s="12"/>
      <c r="C85" s="12"/>
      <c r="D85" s="12"/>
      <c r="E85" s="12"/>
      <c r="F85" s="36">
        <f>F83+F84+F86+F87+F88</f>
        <v>573709.7727203156</v>
      </c>
    </row>
    <row r="86" spans="1:6" ht="15">
      <c r="A86" s="12"/>
      <c r="B86" s="12" t="s">
        <v>135</v>
      </c>
      <c r="C86" s="12"/>
      <c r="D86" s="12"/>
      <c r="E86" s="12"/>
      <c r="F86" s="65">
        <f>38906.7+38906.7</f>
        <v>77813.4</v>
      </c>
    </row>
    <row r="87" spans="1:6" ht="15">
      <c r="A87" s="12"/>
      <c r="B87" s="12" t="s">
        <v>136</v>
      </c>
      <c r="C87" s="12"/>
      <c r="D87" s="12"/>
      <c r="E87" s="12"/>
      <c r="F87" s="65">
        <f>1815.33+1815.33</f>
        <v>3630.66</v>
      </c>
    </row>
    <row r="88" spans="1:6" ht="15">
      <c r="A88" s="12"/>
      <c r="B88" s="12" t="s">
        <v>137</v>
      </c>
      <c r="C88" s="12"/>
      <c r="D88" s="12"/>
      <c r="E88" s="12"/>
      <c r="F88" s="65">
        <f>10636.7+10636.7</f>
        <v>21273.4</v>
      </c>
    </row>
    <row r="89" spans="2:6" ht="12.75">
      <c r="B89" s="39" t="s">
        <v>69</v>
      </c>
      <c r="C89" s="40" t="s">
        <v>70</v>
      </c>
      <c r="D89" s="22" t="s">
        <v>71</v>
      </c>
      <c r="E89" s="22" t="s">
        <v>72</v>
      </c>
      <c r="F89" s="43" t="s">
        <v>141</v>
      </c>
    </row>
    <row r="90" spans="1:6" ht="12.75">
      <c r="A90" s="13"/>
      <c r="B90" s="41">
        <v>45108</v>
      </c>
      <c r="C90" s="42">
        <v>-652358</v>
      </c>
      <c r="D90" s="46">
        <f>F44</f>
        <v>462895.37</v>
      </c>
      <c r="E90" s="46">
        <f>F85</f>
        <v>573709.7727203156</v>
      </c>
      <c r="F90" s="44">
        <f>C90+D90-E90</f>
        <v>-763172.4027203156</v>
      </c>
    </row>
    <row r="92" spans="1:6" ht="13.5" thickBot="1">
      <c r="A92" t="s">
        <v>116</v>
      </c>
      <c r="C92" s="52" t="s">
        <v>140</v>
      </c>
      <c r="D92" s="8" t="s">
        <v>117</v>
      </c>
      <c r="E92" s="52">
        <v>45169</v>
      </c>
      <c r="F92" t="s">
        <v>118</v>
      </c>
    </row>
    <row r="93" spans="1:7" ht="13.5" thickBot="1">
      <c r="A93" t="s">
        <v>119</v>
      </c>
      <c r="F93" s="51">
        <f>E90</f>
        <v>573709.7727203156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2023-07-24T12:10:05Z</cp:lastPrinted>
  <dcterms:created xsi:type="dcterms:W3CDTF">2008-08-18T07:30:19Z</dcterms:created>
  <dcterms:modified xsi:type="dcterms:W3CDTF">2023-11-20T08:24:45Z</dcterms:modified>
  <cp:category/>
  <cp:version/>
  <cp:contentType/>
  <cp:contentStatus/>
</cp:coreProperties>
</file>