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<sst xmlns="http://schemas.openxmlformats.org/spreadsheetml/2006/main" count="223" uniqueCount="176">
  <si>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</si>
  <si>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</si>
  <si>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</si>
  <si>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</si>
  <si>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</si>
  <si>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</si>
  <si>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</si>
  <si>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</si>
  <si>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</si>
  <si>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</si>
  <si>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</si>
  <si>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</si>
  <si>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</si>
  <si>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</si>
  <si>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</si>
  <si>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</si>
  <si>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</si>
  <si>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</si>
  <si>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</si>
  <si>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</si>
  <si>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</si>
  <si>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</si>
  <si>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</si>
  <si>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</si>
  <si>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</si>
  <si>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</si>
  <si>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</si>
  <si>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</si>
  <si>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</si>
  <si>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</si>
  <si>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</si>
  <si>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</si>
  <si>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</si>
  <si>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</si>
  <si>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</si>
  <si>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</si>
  <si>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</si>
  <si>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</si>
  <si>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</si>
  <si>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</si>
  <si>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</si>
  <si>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</si>
  <si>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</si>
  <si>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</si>
  <si>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</si>
  <si>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</si>
  <si>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</si>
  <si>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</si>
  <si>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</si>
  <si>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</si>
  <si>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</si>
  <si>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</si>
  <si>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</si>
  <si>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</si>
  <si>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</si>
  <si>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</si>
  <si>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</si>
  <si>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</si>
  <si>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</si>
  <si>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</si>
  <si>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</si>
  <si>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</si>
  <si>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</si>
  <si>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</si>
  <si>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</si>
  <si>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</si>
  <si>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</si>
  <si>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</si>
  <si>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</si>
  <si>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</si>
  <si>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</si>
  <si>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</si>
  <si>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</si>
  <si>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</si>
  <si>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</si>
  <si>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</si>
  <si>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</si>
  <si>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</si>
  <si>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</si>
  <si>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</si>
  <si>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</si>
  <si>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</si>
  <si>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</si>
  <si>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</si>
  <si>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</si>
  <si>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</si>
  <si>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</si>
  <si>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</si>
  <si>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</si>
  <si>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</si>
  <si>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</si>
  <si>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</si>
  <si>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</si>
  <si>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</si>
  <si>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</si>
  <si>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</si>
  <si>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</si>
  <si>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</si>
  <si>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</si>
  <si>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</si>
  <si>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</si>
  <si>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</si>
  <si>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</si>
  <si>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</si>
  <si>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</si>
  <si>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</si>
  <si>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</si>
  <si>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</si>
  <si>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</si>
  <si>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</si>
  <si>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</si>
  <si>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</si>
  <si>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</si>
  <si>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</si>
  <si>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</si>
  <si>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</si>
  <si>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</si>
  <si>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</si>
  <si>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</si>
  <si>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</si>
  <si>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</si>
  <si>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</si>
  <si>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</si>
  <si>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</si>
  <si>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</si>
  <si>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</si>
  <si>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</si>
  <si>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</si>
  <si>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</si>
  <si>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</si>
  <si>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</si>
  <si>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</si>
  <si>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МТС</t>
    </r>
    <r>
      <rPr>
        <sz val="10"/>
        <rFont val="Arial Cyr"/>
        <family val="0"/>
      </rPr>
      <t xml:space="preserve">) </t>
    </r>
    <r>
      <rPr>
        <sz val="9"/>
        <rFont val="Arial Cyr"/>
        <family val="0"/>
      </rPr>
      <t>Поликлинника №10</t>
    </r>
  </si>
  <si>
    <t>декабря</t>
  </si>
  <si>
    <t>за   ноябрь-декабрь  2023 г.</t>
  </si>
  <si>
    <t>ремонт двери п-д1</t>
  </si>
  <si>
    <t>петля</t>
  </si>
  <si>
    <t>2шт</t>
  </si>
  <si>
    <t>саморез</t>
  </si>
  <si>
    <t>8шт</t>
  </si>
  <si>
    <t>смена светильника (1шт) п-д3</t>
  </si>
  <si>
    <t>светильник</t>
  </si>
  <si>
    <t>1шт</t>
  </si>
  <si>
    <t>смена светильника (6шт) п-д1</t>
  </si>
  <si>
    <t>6шт</t>
  </si>
  <si>
    <t>дюбель</t>
  </si>
  <si>
    <t>12шт</t>
  </si>
  <si>
    <t>провод</t>
  </si>
  <si>
    <t>5мп</t>
  </si>
  <si>
    <t>смена патрона (1шт) подвал</t>
  </si>
  <si>
    <t>патрон</t>
  </si>
  <si>
    <t>2мп</t>
  </si>
  <si>
    <t>отвод 50</t>
  </si>
  <si>
    <t>манжет 50</t>
  </si>
  <si>
    <t>заглушка 50</t>
  </si>
  <si>
    <t>тройник пвх 50</t>
  </si>
  <si>
    <t>манжет 110</t>
  </si>
  <si>
    <t>патрубок 110</t>
  </si>
  <si>
    <t>устр-во заглушки (4шт) т.п.</t>
  </si>
  <si>
    <t>3шт</t>
  </si>
  <si>
    <t>10шт</t>
  </si>
  <si>
    <t>4шт</t>
  </si>
  <si>
    <t>уст-ка хомута (6шт) т.п.</t>
  </si>
  <si>
    <t>хомут</t>
  </si>
  <si>
    <t>смена ламп (1шт) эл.уз.</t>
  </si>
  <si>
    <t>лампа</t>
  </si>
  <si>
    <t>смена патрона (1шт) эл.уз.</t>
  </si>
  <si>
    <t>смена выключателя (2шт) т.п.</t>
  </si>
  <si>
    <t>смена розетки (1шт) т.п.</t>
  </si>
  <si>
    <t>выключатель</t>
  </si>
  <si>
    <t>розетка</t>
  </si>
  <si>
    <t>смена выключателя (1шт) т.п.</t>
  </si>
  <si>
    <t>смена патрона (6шт)</t>
  </si>
  <si>
    <t>смена ламп (1шт) п-д2</t>
  </si>
  <si>
    <t>ост.на 01.01</t>
  </si>
  <si>
    <t>01.11.2023г.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</si>
</sst>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F92" sqref="F92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11</v>
      </c>
      <c r="E2" s="63">
        <v>12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L6*524.58*1.302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3387.6956736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48">
        <f t="shared" si="0"/>
        <v>5989.9377132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5122.523700000001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922.0542660000002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341.50158000000005</v>
      </c>
    </row>
    <row r="20" spans="1:13" ht="12.75">
      <c r="A20" t="s">
        <v>109</v>
      </c>
      <c r="J20" s="20"/>
      <c r="K20" s="27" t="s">
        <v>56</v>
      </c>
      <c r="L20" s="28">
        <f>SUM(L6:L19)</f>
        <v>23.080000000000002</v>
      </c>
      <c r="M20" s="34">
        <f>SUM(M6:M19)</f>
        <v>15763.712932800003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135</v>
      </c>
      <c r="L24" s="53">
        <v>2.63</v>
      </c>
      <c r="M24" s="33">
        <f aca="true" t="shared" si="1" ref="M24:M44">L24*524.58*1.302*1.15</f>
        <v>2065.7430574200002</v>
      </c>
    </row>
    <row r="25" spans="1:13" ht="12.75">
      <c r="A25" t="s">
        <v>113</v>
      </c>
      <c r="J25" s="35">
        <v>2</v>
      </c>
      <c r="K25" s="36" t="s">
        <v>140</v>
      </c>
      <c r="L25" s="53">
        <v>0.89</v>
      </c>
      <c r="M25" s="33">
        <f t="shared" si="1"/>
        <v>699.0537342599999</v>
      </c>
    </row>
    <row r="26" spans="1:13" ht="12.75">
      <c r="A26" t="s">
        <v>114</v>
      </c>
      <c r="J26" s="35">
        <v>3</v>
      </c>
      <c r="K26" s="36" t="s">
        <v>143</v>
      </c>
      <c r="L26" s="48">
        <f>0.06*89.1</f>
        <v>5.345999999999999</v>
      </c>
      <c r="M26" s="33">
        <f t="shared" si="1"/>
        <v>4199.035127363999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 t="s">
        <v>149</v>
      </c>
      <c r="L27" s="48">
        <v>0.39</v>
      </c>
      <c r="M27" s="33">
        <f t="shared" si="1"/>
        <v>306.32691726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158</v>
      </c>
      <c r="L28" s="23">
        <f>4*1.12</f>
        <v>4.48</v>
      </c>
      <c r="M28" s="33">
        <f t="shared" si="1"/>
        <v>3518.8322803200003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162</v>
      </c>
      <c r="L29" s="23">
        <v>6</v>
      </c>
      <c r="M29" s="33">
        <f t="shared" si="1"/>
        <v>4712.721804</v>
      </c>
    </row>
    <row r="30" spans="10:13" ht="12.75">
      <c r="J30" s="35">
        <v>7</v>
      </c>
      <c r="K30" s="36" t="s">
        <v>164</v>
      </c>
      <c r="L30" s="23">
        <v>0.07</v>
      </c>
      <c r="M30" s="33">
        <f t="shared" si="1"/>
        <v>54.981754380000005</v>
      </c>
    </row>
    <row r="31" spans="2:13" ht="12.75">
      <c r="B31" t="s">
        <v>0</v>
      </c>
      <c r="J31" s="35">
        <v>8</v>
      </c>
      <c r="K31" s="36" t="s">
        <v>166</v>
      </c>
      <c r="L31" s="23">
        <v>0.39</v>
      </c>
      <c r="M31" s="33">
        <f t="shared" si="1"/>
        <v>306.32691726</v>
      </c>
    </row>
    <row r="32" spans="10:13" ht="12.75">
      <c r="J32" s="35">
        <v>9</v>
      </c>
      <c r="K32" s="36" t="s">
        <v>167</v>
      </c>
      <c r="L32" s="23">
        <f>2*0.24</f>
        <v>0.48</v>
      </c>
      <c r="M32" s="33">
        <f t="shared" si="1"/>
        <v>377.01774432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 t="s">
        <v>168</v>
      </c>
      <c r="L33" s="23">
        <v>0.24</v>
      </c>
      <c r="M33" s="33">
        <f t="shared" si="1"/>
        <v>188.50887216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 t="s">
        <v>171</v>
      </c>
      <c r="L34" s="23">
        <v>0.24</v>
      </c>
      <c r="M34" s="33">
        <f t="shared" si="1"/>
        <v>188.50887216</v>
      </c>
    </row>
    <row r="35" spans="1:13" ht="12.75">
      <c r="A35" t="s">
        <v>3</v>
      </c>
      <c r="J35" s="35">
        <v>12</v>
      </c>
      <c r="K35" s="36" t="s">
        <v>172</v>
      </c>
      <c r="L35" s="23">
        <f>0.06*39.6</f>
        <v>2.376</v>
      </c>
      <c r="M35" s="33">
        <f t="shared" si="1"/>
        <v>1866.2378343839998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 t="s">
        <v>173</v>
      </c>
      <c r="L36" s="23">
        <v>0.071</v>
      </c>
      <c r="M36" s="33">
        <f t="shared" si="1"/>
        <v>55.767208014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115190.38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116180.56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1.008596030328227</v>
      </c>
      <c r="J42" s="35">
        <v>19</v>
      </c>
      <c r="K42" s="36"/>
      <c r="L42" s="23"/>
      <c r="M42" s="33">
        <f t="shared" si="1"/>
        <v>0</v>
      </c>
    </row>
    <row r="43" spans="1:13" ht="15" customHeight="1">
      <c r="A43" s="64" t="s">
        <v>132</v>
      </c>
      <c r="B43" s="64"/>
      <c r="C43" s="64"/>
      <c r="D43" s="64"/>
      <c r="E43" s="56"/>
      <c r="F43" s="11">
        <f>400+300+(920.3*15.77)</f>
        <v>15213.131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131393.691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23.603</v>
      </c>
      <c r="M45" s="34">
        <f>SUM(M24:M44)</f>
        <v>18539.062123302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(7400+8850)*1.302</f>
        <v>21157.5</v>
      </c>
      <c r="J49" s="20">
        <v>1</v>
      </c>
      <c r="K49" s="20" t="s">
        <v>136</v>
      </c>
      <c r="L49" s="25" t="s">
        <v>137</v>
      </c>
      <c r="M49" s="25">
        <f>2*39</f>
        <v>78</v>
      </c>
    </row>
    <row r="50" spans="1:13" ht="12.75">
      <c r="A50" s="6" t="s">
        <v>15</v>
      </c>
      <c r="F50" s="11">
        <f>(2450+2450)*1.302</f>
        <v>6379.8</v>
      </c>
      <c r="J50" s="20">
        <v>2</v>
      </c>
      <c r="K50" s="20" t="s">
        <v>138</v>
      </c>
      <c r="L50" s="25" t="s">
        <v>139</v>
      </c>
      <c r="M50" s="25">
        <f>8*0.55</f>
        <v>4.4</v>
      </c>
    </row>
    <row r="51" spans="1:13" ht="12.75">
      <c r="A51" s="59" t="s">
        <v>84</v>
      </c>
      <c r="B51" s="57"/>
      <c r="C51" s="57"/>
      <c r="D51" s="57"/>
      <c r="E51" s="60">
        <v>1.11</v>
      </c>
      <c r="F51" s="58">
        <f>E51*E33</f>
        <v>4058.1600000000003</v>
      </c>
      <c r="J51" s="20">
        <v>3</v>
      </c>
      <c r="K51" s="20" t="s">
        <v>141</v>
      </c>
      <c r="L51" s="25" t="s">
        <v>142</v>
      </c>
      <c r="M51" s="25">
        <v>495</v>
      </c>
    </row>
    <row r="52" spans="1:13" ht="12.75">
      <c r="A52" s="4" t="s">
        <v>74</v>
      </c>
      <c r="F52" s="32">
        <f>F49+F50+F51</f>
        <v>31595.46</v>
      </c>
      <c r="J52" s="20">
        <v>4</v>
      </c>
      <c r="K52" s="20" t="s">
        <v>141</v>
      </c>
      <c r="L52" s="25" t="s">
        <v>144</v>
      </c>
      <c r="M52" s="48">
        <f>6*495</f>
        <v>2970</v>
      </c>
    </row>
    <row r="53" spans="1:13" ht="12.75">
      <c r="A53" s="4" t="s">
        <v>16</v>
      </c>
      <c r="F53" t="s">
        <v>73</v>
      </c>
      <c r="J53" s="20">
        <v>5</v>
      </c>
      <c r="K53" s="20" t="s">
        <v>145</v>
      </c>
      <c r="L53" s="25" t="s">
        <v>146</v>
      </c>
      <c r="M53" s="25">
        <f>12*0.82</f>
        <v>9.84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138</v>
      </c>
      <c r="L54" s="25" t="s">
        <v>146</v>
      </c>
      <c r="M54" s="48">
        <f>12*0.55</f>
        <v>6.6000000000000005</v>
      </c>
    </row>
    <row r="55" spans="1:13" ht="12.75">
      <c r="A55" t="s">
        <v>80</v>
      </c>
      <c r="B55">
        <v>1239.4</v>
      </c>
      <c r="C55" t="s">
        <v>13</v>
      </c>
      <c r="D55" s="5">
        <v>0.6</v>
      </c>
      <c r="E55" t="s">
        <v>14</v>
      </c>
      <c r="F55" s="11">
        <f>B55*D55</f>
        <v>743.64</v>
      </c>
      <c r="J55" s="20">
        <v>7</v>
      </c>
      <c r="K55" s="20" t="s">
        <v>147</v>
      </c>
      <c r="L55" s="25" t="s">
        <v>148</v>
      </c>
      <c r="M55" s="25">
        <f>5*84.6</f>
        <v>423</v>
      </c>
    </row>
    <row r="56" spans="1:13" ht="12.75">
      <c r="A56" s="4" t="s">
        <v>17</v>
      </c>
      <c r="B56" s="10"/>
      <c r="C56" s="10"/>
      <c r="F56" s="32">
        <f>SUM(F54:F55)</f>
        <v>743.64</v>
      </c>
      <c r="J56" s="20">
        <v>8</v>
      </c>
      <c r="K56" s="20" t="s">
        <v>150</v>
      </c>
      <c r="L56" s="25" t="s">
        <v>142</v>
      </c>
      <c r="M56" s="25">
        <v>29.77</v>
      </c>
    </row>
    <row r="57" spans="1:13" ht="12.75">
      <c r="A57" s="4" t="s">
        <v>18</v>
      </c>
      <c r="B57" s="4"/>
      <c r="J57" s="20">
        <v>9</v>
      </c>
      <c r="K57" s="20" t="s">
        <v>147</v>
      </c>
      <c r="L57" s="25" t="s">
        <v>151</v>
      </c>
      <c r="M57" s="48">
        <f>2*84.6</f>
        <v>169.2</v>
      </c>
    </row>
    <row r="58" spans="1:13" ht="12.75">
      <c r="A58" t="s">
        <v>19</v>
      </c>
      <c r="C58" s="49">
        <v>1958853</v>
      </c>
      <c r="D58">
        <v>222433.7</v>
      </c>
      <c r="E58">
        <v>3654.2</v>
      </c>
      <c r="F58" s="37">
        <f>C58/D58*E58</f>
        <v>32180.55821847139</v>
      </c>
      <c r="J58" s="20">
        <v>10</v>
      </c>
      <c r="K58" s="20" t="s">
        <v>152</v>
      </c>
      <c r="L58" s="25" t="s">
        <v>159</v>
      </c>
      <c r="M58" s="25">
        <f>3*26</f>
        <v>78</v>
      </c>
    </row>
    <row r="59" spans="1:13" ht="14.25" customHeight="1">
      <c r="A59" t="s">
        <v>20</v>
      </c>
      <c r="F59" s="37">
        <f>M20</f>
        <v>15763.712932800003</v>
      </c>
      <c r="J59" s="20">
        <v>11</v>
      </c>
      <c r="K59" s="20" t="s">
        <v>153</v>
      </c>
      <c r="L59" s="25" t="s">
        <v>160</v>
      </c>
      <c r="M59" s="25">
        <f>10*30</f>
        <v>300</v>
      </c>
    </row>
    <row r="60" spans="1:13" ht="12.75">
      <c r="A60" t="s">
        <v>21</v>
      </c>
      <c r="F60" s="11">
        <f>M45</f>
        <v>18539.062123302</v>
      </c>
      <c r="J60" s="20">
        <v>12</v>
      </c>
      <c r="K60" s="20" t="s">
        <v>154</v>
      </c>
      <c r="L60" s="25" t="s">
        <v>161</v>
      </c>
      <c r="M60" s="25">
        <f>4*8</f>
        <v>32</v>
      </c>
    </row>
    <row r="61" spans="1:13" ht="12.75">
      <c r="A61" t="s">
        <v>70</v>
      </c>
      <c r="F61" s="5">
        <f>2*600*1.302</f>
        <v>1562.4</v>
      </c>
      <c r="J61" s="20">
        <v>13</v>
      </c>
      <c r="K61" s="20" t="s">
        <v>155</v>
      </c>
      <c r="L61" s="25" t="s">
        <v>159</v>
      </c>
      <c r="M61" s="25">
        <f>3*64.42</f>
        <v>193.26</v>
      </c>
    </row>
    <row r="62" spans="1:13" ht="12.75">
      <c r="A62" t="s">
        <v>22</v>
      </c>
      <c r="F62" s="5">
        <f>M81</f>
        <v>8553.750000000002</v>
      </c>
      <c r="J62" s="20">
        <v>14</v>
      </c>
      <c r="K62" s="20" t="s">
        <v>156</v>
      </c>
      <c r="L62" s="25" t="s">
        <v>142</v>
      </c>
      <c r="M62" s="25">
        <v>68</v>
      </c>
    </row>
    <row r="63" spans="1:13" ht="12.75">
      <c r="A63" t="s">
        <v>23</v>
      </c>
      <c r="F63" s="5"/>
      <c r="J63" s="20">
        <v>15</v>
      </c>
      <c r="K63" s="20" t="s">
        <v>157</v>
      </c>
      <c r="L63" s="25" t="s">
        <v>137</v>
      </c>
      <c r="M63" s="25">
        <f>2*176</f>
        <v>352</v>
      </c>
    </row>
    <row r="64" spans="1:13" ht="12.75">
      <c r="A64" t="s">
        <v>24</v>
      </c>
      <c r="F64" s="5"/>
      <c r="J64" s="20">
        <v>16</v>
      </c>
      <c r="K64" s="20" t="s">
        <v>163</v>
      </c>
      <c r="L64" s="25" t="s">
        <v>137</v>
      </c>
      <c r="M64" s="25">
        <f>2*218</f>
        <v>436</v>
      </c>
    </row>
    <row r="65" spans="2:13" ht="12.75">
      <c r="B65">
        <f>E33</f>
        <v>3656</v>
      </c>
      <c r="C65" t="s">
        <v>13</v>
      </c>
      <c r="D65" s="11">
        <v>0.94</v>
      </c>
      <c r="E65" t="s">
        <v>14</v>
      </c>
      <c r="F65" s="11">
        <f>B65*D65</f>
        <v>3436.64</v>
      </c>
      <c r="J65" s="20">
        <v>17</v>
      </c>
      <c r="K65" s="20" t="s">
        <v>163</v>
      </c>
      <c r="L65" s="25" t="s">
        <v>137</v>
      </c>
      <c r="M65" s="25">
        <f>2*624</f>
        <v>1248</v>
      </c>
    </row>
    <row r="66" spans="1:13" ht="12.75">
      <c r="A66" s="57" t="s">
        <v>76</v>
      </c>
      <c r="B66" s="57"/>
      <c r="C66" s="57"/>
      <c r="D66" s="58"/>
      <c r="E66" s="57"/>
      <c r="F66" s="58">
        <v>0</v>
      </c>
      <c r="J66" s="20">
        <v>18</v>
      </c>
      <c r="K66" s="20" t="s">
        <v>163</v>
      </c>
      <c r="L66" s="25" t="s">
        <v>137</v>
      </c>
      <c r="M66" s="25">
        <f>2*490.42</f>
        <v>980.84</v>
      </c>
    </row>
    <row r="67" spans="1:13" ht="12.75">
      <c r="A67" s="57" t="s">
        <v>85</v>
      </c>
      <c r="B67" s="57"/>
      <c r="C67" s="57"/>
      <c r="D67" s="58">
        <v>0.8</v>
      </c>
      <c r="E67" s="57"/>
      <c r="F67" s="58">
        <f>D67*E33</f>
        <v>2924.8</v>
      </c>
      <c r="J67" s="20">
        <v>19</v>
      </c>
      <c r="K67" s="20" t="s">
        <v>165</v>
      </c>
      <c r="L67" s="25" t="s">
        <v>142</v>
      </c>
      <c r="M67" s="25">
        <v>11.56</v>
      </c>
    </row>
    <row r="68" spans="1:13" ht="12.75">
      <c r="A68" s="4" t="s">
        <v>25</v>
      </c>
      <c r="B68" s="10"/>
      <c r="C68" s="10"/>
      <c r="F68" s="32">
        <f>SUM(F58:F67)</f>
        <v>82960.92327457339</v>
      </c>
      <c r="J68" s="20">
        <v>20</v>
      </c>
      <c r="K68" s="20" t="s">
        <v>150</v>
      </c>
      <c r="L68" s="25" t="s">
        <v>142</v>
      </c>
      <c r="M68" s="25">
        <v>29.77</v>
      </c>
    </row>
    <row r="69" spans="1:13" ht="12.75">
      <c r="A69" s="4" t="s">
        <v>26</v>
      </c>
      <c r="J69" s="20">
        <v>21</v>
      </c>
      <c r="K69" s="20" t="s">
        <v>169</v>
      </c>
      <c r="L69" s="25" t="s">
        <v>137</v>
      </c>
      <c r="M69" s="25">
        <f>2*90.22</f>
        <v>180.44</v>
      </c>
    </row>
    <row r="70" spans="1:13" ht="12.75">
      <c r="A70" t="s">
        <v>27</v>
      </c>
      <c r="B70">
        <f>E33</f>
        <v>3656</v>
      </c>
      <c r="C70" t="s">
        <v>64</v>
      </c>
      <c r="D70" s="5">
        <v>0.49</v>
      </c>
      <c r="E70" t="s">
        <v>14</v>
      </c>
      <c r="F70" s="11">
        <f>B70*D70</f>
        <v>1791.44</v>
      </c>
      <c r="J70" s="20">
        <v>22</v>
      </c>
      <c r="K70" s="20" t="s">
        <v>170</v>
      </c>
      <c r="L70" s="25" t="s">
        <v>142</v>
      </c>
      <c r="M70" s="25">
        <v>173.33</v>
      </c>
    </row>
    <row r="71" spans="1:13" ht="12.75">
      <c r="A71" t="s">
        <v>28</v>
      </c>
      <c r="F71" s="5"/>
      <c r="J71" s="20">
        <v>23</v>
      </c>
      <c r="K71" s="20" t="s">
        <v>169</v>
      </c>
      <c r="L71" s="25" t="s">
        <v>142</v>
      </c>
      <c r="M71" s="25">
        <v>90.22</v>
      </c>
    </row>
    <row r="72" spans="1:13" ht="12.75">
      <c r="A72" s="7" t="s">
        <v>71</v>
      </c>
      <c r="F72" s="5"/>
      <c r="J72" s="20">
        <v>24</v>
      </c>
      <c r="K72" s="20" t="s">
        <v>150</v>
      </c>
      <c r="L72" s="25" t="s">
        <v>144</v>
      </c>
      <c r="M72" s="25">
        <f>6*29.77</f>
        <v>178.62</v>
      </c>
    </row>
    <row r="73" spans="2:13" ht="12.75">
      <c r="B73">
        <f>E33</f>
        <v>3656</v>
      </c>
      <c r="C73" t="s">
        <v>13</v>
      </c>
      <c r="D73" s="11">
        <v>2.56</v>
      </c>
      <c r="E73" t="s">
        <v>14</v>
      </c>
      <c r="F73" s="11">
        <f>B73*D73</f>
        <v>9359.36</v>
      </c>
      <c r="J73" s="20">
        <v>25</v>
      </c>
      <c r="K73" s="20" t="s">
        <v>165</v>
      </c>
      <c r="L73" s="25" t="s">
        <v>142</v>
      </c>
      <c r="M73" s="25">
        <v>15.9</v>
      </c>
    </row>
    <row r="74" spans="1:13" ht="12.75">
      <c r="A74" s="4" t="s">
        <v>29</v>
      </c>
      <c r="F74" s="32">
        <f>F70+F73</f>
        <v>11150.800000000001</v>
      </c>
      <c r="J74" s="20">
        <v>26</v>
      </c>
      <c r="K74" s="20"/>
      <c r="L74" s="25"/>
      <c r="M74" s="25"/>
    </row>
    <row r="75" spans="1:13" ht="12.75">
      <c r="A75" s="4" t="s">
        <v>30</v>
      </c>
      <c r="J75" s="20">
        <v>27</v>
      </c>
      <c r="K75" s="20"/>
      <c r="L75" s="25"/>
      <c r="M75" s="25"/>
    </row>
    <row r="76" spans="1:13" ht="12.75">
      <c r="A76" s="7" t="s">
        <v>72</v>
      </c>
      <c r="B76" s="7"/>
      <c r="C76" s="7"/>
      <c r="D76" s="7"/>
      <c r="E76" s="7"/>
      <c r="F76" s="7"/>
      <c r="J76" s="20">
        <v>28</v>
      </c>
      <c r="K76" s="20"/>
      <c r="L76" s="25"/>
      <c r="M76" s="25"/>
    </row>
    <row r="77" spans="2:13" ht="12.75">
      <c r="B77">
        <f>E33</f>
        <v>3656</v>
      </c>
      <c r="C77" t="s">
        <v>13</v>
      </c>
      <c r="D77" s="11">
        <v>6.31</v>
      </c>
      <c r="E77" t="s">
        <v>14</v>
      </c>
      <c r="F77" s="11">
        <f>B77*D77</f>
        <v>23069.359999999997</v>
      </c>
      <c r="J77" s="20">
        <v>29</v>
      </c>
      <c r="K77" s="20"/>
      <c r="L77" s="25"/>
      <c r="M77" s="25"/>
    </row>
    <row r="78" spans="1:13" ht="12.75">
      <c r="A78" s="4" t="s">
        <v>31</v>
      </c>
      <c r="F78" s="32">
        <f>SUM(F77)</f>
        <v>23069.359999999997</v>
      </c>
      <c r="J78" s="20">
        <v>30</v>
      </c>
      <c r="K78" s="20"/>
      <c r="L78" s="25"/>
      <c r="M78" s="25"/>
    </row>
    <row r="79" spans="1:13" ht="12.75">
      <c r="A79" s="61" t="s">
        <v>79</v>
      </c>
      <c r="B79" s="57"/>
      <c r="C79" s="57"/>
      <c r="D79" s="60">
        <v>2.26</v>
      </c>
      <c r="E79" s="57"/>
      <c r="F79" s="62">
        <f>D79*E33</f>
        <v>8262.56</v>
      </c>
      <c r="J79" s="20">
        <v>31</v>
      </c>
      <c r="K79" s="20"/>
      <c r="L79" s="25"/>
      <c r="M79" s="48"/>
    </row>
    <row r="80" spans="1:13" ht="12.75">
      <c r="A80" s="1" t="s">
        <v>32</v>
      </c>
      <c r="B80" s="1"/>
      <c r="F80" s="32">
        <f>F52+F56+F68+F74+F78+F79</f>
        <v>157782.74327457338</v>
      </c>
      <c r="J80" s="20">
        <v>32</v>
      </c>
      <c r="K80" s="20"/>
      <c r="L80" s="25"/>
      <c r="M80" s="25"/>
    </row>
    <row r="81" spans="1:13" ht="12.75">
      <c r="A81" s="1" t="s">
        <v>77</v>
      </c>
      <c r="B81" s="38"/>
      <c r="C81" s="38">
        <v>0.058</v>
      </c>
      <c r="D81" s="1"/>
      <c r="E81" s="1"/>
      <c r="F81" s="32">
        <f>F80*5.8%</f>
        <v>9151.399109925256</v>
      </c>
      <c r="I81" s="7"/>
      <c r="J81" s="20"/>
      <c r="K81" s="20"/>
      <c r="L81" s="31" t="s">
        <v>63</v>
      </c>
      <c r="M81" s="28">
        <f>SUM(M49:M80)</f>
        <v>8553.750000000002</v>
      </c>
    </row>
    <row r="82" spans="1:9" ht="12.75">
      <c r="A82" s="1"/>
      <c r="B82" s="38" t="s">
        <v>128</v>
      </c>
      <c r="C82" s="38"/>
      <c r="D82" s="1"/>
      <c r="E82" s="54"/>
      <c r="F82" s="55">
        <f>6896.7+3195.18</f>
        <v>10091.88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177610.40238449865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174</v>
      </c>
    </row>
    <row r="87" spans="1:6" ht="12.75">
      <c r="A87" s="13"/>
      <c r="B87" s="41">
        <v>45597</v>
      </c>
      <c r="C87" s="42">
        <v>-425191</v>
      </c>
      <c r="D87" s="45">
        <f>F44</f>
        <v>131393.691</v>
      </c>
      <c r="E87" s="45">
        <f>F85</f>
        <v>177610.40238449865</v>
      </c>
      <c r="F87" s="46">
        <f>C87+D87-E87</f>
        <v>-471407.71138449863</v>
      </c>
    </row>
    <row r="89" spans="1:6" ht="13.5" thickBot="1">
      <c r="A89" t="s">
        <v>86</v>
      </c>
      <c r="C89" s="51" t="s">
        <v>175</v>
      </c>
      <c r="D89" s="8" t="s">
        <v>87</v>
      </c>
      <c r="E89" s="51">
        <v>45291</v>
      </c>
      <c r="F89" t="s">
        <v>88</v>
      </c>
    </row>
    <row r="90" spans="1:7" ht="13.5" thickBot="1">
      <c r="A90" t="s">
        <v>89</v>
      </c>
      <c r="F90" s="52">
        <f>E87</f>
        <v>177610.40238449865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2024-02-27T11:04:54Z</dcterms:modified>
  <cp:category/>
  <cp:version/>
  <cp:contentType/>
  <cp:contentStatus/>
</cp:coreProperties>
</file>