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<sst xmlns="http://schemas.openxmlformats.org/spreadsheetml/2006/main" count="267" uniqueCount="201">
  <si>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</si>
  <si>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</si>
  <si>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</si>
  <si>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</si>
  <si>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</si>
  <si>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</si>
  <si>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</si>
  <si>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</si>
  <si>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</si>
  <si>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</si>
  <si>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</si>
  <si>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</si>
  <si>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</si>
  <si>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</si>
  <si>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</si>
  <si>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</si>
  <si>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</si>
  <si>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</si>
  <si>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</si>
  <si>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</si>
  <si>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</si>
  <si>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</si>
  <si>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</si>
  <si>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</si>
  <si>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</si>
  <si>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</si>
  <si>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</si>
  <si>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</si>
  <si>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</si>
  <si>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</si>
  <si>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</si>
  <si>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</si>
  <si>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</si>
  <si>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</si>
  <si>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</si>
  <si>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</si>
  <si>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</si>
  <si>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</si>
  <si>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</si>
  <si>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</si>
  <si>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</si>
  <si>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</si>
  <si>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</si>
  <si>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</si>
  <si>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</si>
  <si>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</si>
  <si>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</si>
  <si>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</si>
  <si>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</si>
  <si>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</si>
  <si>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</si>
  <si>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</si>
  <si>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</si>
  <si>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</si>
  <si>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</si>
  <si>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</si>
  <si>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</si>
  <si>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</si>
  <si>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</si>
  <si>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</si>
  <si>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</si>
  <si>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</si>
  <si>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</si>
  <si>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</si>
  <si>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</si>
  <si>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</si>
  <si>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</si>
  <si>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</si>
  <si>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</si>
  <si>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</si>
  <si>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</si>
  <si>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</si>
  <si>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</si>
  <si>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</si>
  <si>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</si>
  <si>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</si>
  <si>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</si>
  <si>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</si>
  <si>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</si>
  <si>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</si>
  <si>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</si>
  <si>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</si>
  <si>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</si>
  <si>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</si>
  <si>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</si>
  <si>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</si>
  <si>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</si>
  <si>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</si>
  <si>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</si>
  <si>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</si>
  <si>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</si>
  <si>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</si>
  <si>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</si>
  <si>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</si>
  <si>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</si>
  <si>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</si>
  <si>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</si>
  <si>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</si>
  <si>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</si>
  <si>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</si>
  <si>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</si>
  <si>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</si>
  <si>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</si>
  <si>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</si>
  <si>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</si>
  <si>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</si>
  <si>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</si>
  <si>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</si>
  <si>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</si>
  <si>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</si>
  <si>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</si>
  <si>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</si>
  <si>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</si>
  <si>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</si>
  <si>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</si>
  <si>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</si>
  <si>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</si>
  <si>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</si>
  <si>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</si>
  <si>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</si>
  <si>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</si>
  <si>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</si>
  <si>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</si>
  <si>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</si>
  <si>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</si>
  <si>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</si>
  <si>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</si>
  <si>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</si>
  <si>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</si>
  <si>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Гор.газ (тех.обслуживание и ремонт)</t>
  </si>
  <si>
    <t>Акт № _________9_____________</t>
  </si>
  <si>
    <t>2023 г.</t>
  </si>
  <si>
    <t>1.2 Аренда (Ростелеком, МТС, ТТК, ЭР-Телеком, Видикон)</t>
  </si>
  <si>
    <t>декабря</t>
  </si>
  <si>
    <t>за   ноябрь-декабрь  2023 г.</t>
  </si>
  <si>
    <t>01.11.2023г.</t>
  </si>
  <si>
    <t>ост.на 01.01</t>
  </si>
  <si>
    <t>работа по договору</t>
  </si>
  <si>
    <t xml:space="preserve">смена труб д 25 м/пл (2мп) </t>
  </si>
  <si>
    <t>труба д 25</t>
  </si>
  <si>
    <t>2мп</t>
  </si>
  <si>
    <t>американка 25</t>
  </si>
  <si>
    <t>2шт</t>
  </si>
  <si>
    <t>4шт</t>
  </si>
  <si>
    <t>муфта комб.25</t>
  </si>
  <si>
    <t>уголок 20</t>
  </si>
  <si>
    <t>американка 32</t>
  </si>
  <si>
    <t xml:space="preserve">смена труб д 25 м/пл (4мп) </t>
  </si>
  <si>
    <t xml:space="preserve">смена труб д 20 м/пл (1мп) </t>
  </si>
  <si>
    <t>смена вентиля д 15</t>
  </si>
  <si>
    <t>1шт</t>
  </si>
  <si>
    <t>4мп</t>
  </si>
  <si>
    <t>труба д 20</t>
  </si>
  <si>
    <t>1мп</t>
  </si>
  <si>
    <t>вентиль д 15</t>
  </si>
  <si>
    <t>уголок 25</t>
  </si>
  <si>
    <t>тройник 25</t>
  </si>
  <si>
    <t>муфта паечная</t>
  </si>
  <si>
    <t>закрытие подвальных продухов (12шт) т.п.</t>
  </si>
  <si>
    <t>саморез</t>
  </si>
  <si>
    <t>30шт</t>
  </si>
  <si>
    <t xml:space="preserve">смена замка (1шт) </t>
  </si>
  <si>
    <t>замок</t>
  </si>
  <si>
    <t>смена ламп (2шт)</t>
  </si>
  <si>
    <t>лампа</t>
  </si>
  <si>
    <t>смена труб д 20 (1мп)</t>
  </si>
  <si>
    <t xml:space="preserve">смена вентиля д 15 (2шт) </t>
  </si>
  <si>
    <t>муфта комб.20</t>
  </si>
  <si>
    <t>тройник 20</t>
  </si>
  <si>
    <t>смена светильника (3шт) п-д2</t>
  </si>
  <si>
    <t>светильник</t>
  </si>
  <si>
    <t>3шт</t>
  </si>
  <si>
    <t>6шт</t>
  </si>
  <si>
    <t>дюпель</t>
  </si>
  <si>
    <t xml:space="preserve">смена ламп (5шт) </t>
  </si>
  <si>
    <t>5шт</t>
  </si>
  <si>
    <t>рубитекс</t>
  </si>
  <si>
    <t>газ</t>
  </si>
  <si>
    <t>30кг</t>
  </si>
  <si>
    <t>саудфлекс</t>
  </si>
  <si>
    <t>закрытие подвальных окон</t>
  </si>
  <si>
    <t>60шт</t>
  </si>
  <si>
    <t xml:space="preserve">смена труб д 110 (2мп) </t>
  </si>
  <si>
    <t xml:space="preserve">смена труб д 32 (1мп) </t>
  </si>
  <si>
    <t xml:space="preserve">смена гебо (1шт) </t>
  </si>
  <si>
    <t xml:space="preserve">уст-во заглушки (1шт) </t>
  </si>
  <si>
    <t>труба д 110</t>
  </si>
  <si>
    <t>патрубок 110</t>
  </si>
  <si>
    <t>переход 110</t>
  </si>
  <si>
    <t>манжета 110</t>
  </si>
  <si>
    <t>труба д 32</t>
  </si>
  <si>
    <t>гебо 32</t>
  </si>
  <si>
    <t>муфта комб. 20</t>
  </si>
  <si>
    <t xml:space="preserve">заглушка </t>
  </si>
  <si>
    <t>смена труб д 32 (4мп) т.п.</t>
  </si>
  <si>
    <t>смена гебо (1шт) т.п.</t>
  </si>
  <si>
    <t>муфта 32</t>
  </si>
  <si>
    <t xml:space="preserve">смена ламп (6шт) </t>
  </si>
  <si>
    <t>смена светильника (2шт) п-д1</t>
  </si>
  <si>
    <t>провод</t>
  </si>
  <si>
    <t>5мп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</si>
</sst>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6" xfId="0" applyBorder="1" applyAlignment="1">
      <alignment horizontal="left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58">
      <selection activeCell="M94" sqref="M94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75390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130</v>
      </c>
      <c r="D1" s="8">
        <v>11</v>
      </c>
      <c r="E1" s="60">
        <v>12</v>
      </c>
      <c r="K1" t="s">
        <v>66</v>
      </c>
    </row>
    <row r="2" spans="1:11" ht="12.75">
      <c r="A2" t="s">
        <v>84</v>
      </c>
      <c r="K2" s="5" t="s">
        <v>134</v>
      </c>
    </row>
    <row r="3" spans="1:13" ht="12.75">
      <c r="A3" t="s">
        <v>85</v>
      </c>
      <c r="J3" s="14" t="s">
        <v>35</v>
      </c>
      <c r="K3" s="50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86</v>
      </c>
      <c r="J5" s="15"/>
      <c r="K5" s="15"/>
      <c r="L5" s="21" t="s">
        <v>40</v>
      </c>
      <c r="M5" s="21"/>
    </row>
    <row r="6" spans="2:13" ht="12.75">
      <c r="B6" t="s">
        <v>87</v>
      </c>
      <c r="C6" s="1" t="s">
        <v>88</v>
      </c>
      <c r="D6" s="1"/>
      <c r="E6" s="1" t="s">
        <v>109</v>
      </c>
      <c r="J6" s="20">
        <v>1</v>
      </c>
      <c r="K6" s="20" t="s">
        <v>76</v>
      </c>
      <c r="L6" s="25">
        <v>0</v>
      </c>
      <c r="M6" s="45">
        <f>L6*524.58*1.302</f>
        <v>0</v>
      </c>
    </row>
    <row r="7" spans="10:13" ht="12.75">
      <c r="J7" s="14">
        <v>2</v>
      </c>
      <c r="K7" s="14" t="s">
        <v>43</v>
      </c>
      <c r="L7" s="14"/>
      <c r="M7" s="45">
        <f aca="true" t="shared" si="0" ref="M7:M19">L7*524.58*1.302</f>
        <v>0</v>
      </c>
    </row>
    <row r="8" spans="1:13" ht="12.75">
      <c r="A8" t="s">
        <v>89</v>
      </c>
      <c r="J8" s="15"/>
      <c r="K8" s="15" t="s">
        <v>44</v>
      </c>
      <c r="L8" s="21"/>
      <c r="M8" s="45">
        <f t="shared" si="0"/>
        <v>0</v>
      </c>
    </row>
    <row r="9" spans="5:13" ht="12.75">
      <c r="E9" t="s">
        <v>90</v>
      </c>
      <c r="J9" s="16"/>
      <c r="K9" s="16" t="s">
        <v>45</v>
      </c>
      <c r="L9" s="23"/>
      <c r="M9" s="45">
        <f t="shared" si="0"/>
        <v>0</v>
      </c>
    </row>
    <row r="10" spans="5:13" ht="12.75">
      <c r="E10" t="s">
        <v>91</v>
      </c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t="s">
        <v>92</v>
      </c>
      <c r="J11" s="16"/>
      <c r="K11" s="18" t="s">
        <v>48</v>
      </c>
      <c r="L11" s="23">
        <v>0</v>
      </c>
      <c r="M11" s="45">
        <f t="shared" si="0"/>
        <v>0</v>
      </c>
    </row>
    <row r="12" spans="5:13" ht="12.75">
      <c r="E12" t="s">
        <v>93</v>
      </c>
      <c r="J12" s="14">
        <v>4</v>
      </c>
      <c r="K12" s="17" t="s">
        <v>47</v>
      </c>
      <c r="L12" s="22"/>
      <c r="M12" s="45">
        <f t="shared" si="0"/>
        <v>0</v>
      </c>
    </row>
    <row r="13" spans="1:13" ht="12.75">
      <c r="A13" t="s">
        <v>94</v>
      </c>
      <c r="J13" s="16"/>
      <c r="K13" s="18" t="s">
        <v>79</v>
      </c>
      <c r="L13" s="23">
        <v>3.68</v>
      </c>
      <c r="M13" s="45">
        <f t="shared" si="0"/>
        <v>2513.4516288000004</v>
      </c>
    </row>
    <row r="14" spans="1:13" ht="12.75">
      <c r="A14" t="s">
        <v>95</v>
      </c>
      <c r="J14" s="20">
        <v>5</v>
      </c>
      <c r="K14" s="19" t="s">
        <v>49</v>
      </c>
      <c r="L14" s="25">
        <v>8.1</v>
      </c>
      <c r="M14" s="45">
        <f t="shared" si="0"/>
        <v>5532.325596000001</v>
      </c>
    </row>
    <row r="15" spans="5:13" ht="12.75">
      <c r="E15" t="s">
        <v>96</v>
      </c>
      <c r="J15" s="14">
        <v>6</v>
      </c>
      <c r="K15" s="17" t="s">
        <v>50</v>
      </c>
      <c r="L15" s="22"/>
      <c r="M15" s="45">
        <f t="shared" si="0"/>
        <v>0</v>
      </c>
    </row>
    <row r="16" spans="5:13" ht="12.75">
      <c r="E16" t="s">
        <v>97</v>
      </c>
      <c r="J16" s="15" t="s">
        <v>51</v>
      </c>
      <c r="K16" s="26" t="s">
        <v>52</v>
      </c>
      <c r="L16" s="21">
        <v>0</v>
      </c>
      <c r="M16" s="45">
        <f t="shared" si="0"/>
        <v>0</v>
      </c>
    </row>
    <row r="17" spans="5:13" ht="12.75">
      <c r="E17" t="s">
        <v>98</v>
      </c>
      <c r="J17" s="15" t="s">
        <v>53</v>
      </c>
      <c r="K17" s="26" t="s">
        <v>81</v>
      </c>
      <c r="L17" s="21">
        <v>12.5</v>
      </c>
      <c r="M17" s="45">
        <f t="shared" si="0"/>
        <v>8537.5395</v>
      </c>
    </row>
    <row r="18" spans="1:13" ht="12.75">
      <c r="A18" t="s">
        <v>99</v>
      </c>
      <c r="J18" s="15" t="s">
        <v>55</v>
      </c>
      <c r="K18" s="26" t="s">
        <v>54</v>
      </c>
      <c r="L18" s="21">
        <v>2.25</v>
      </c>
      <c r="M18" s="45">
        <f t="shared" si="0"/>
        <v>1536.7571100000002</v>
      </c>
    </row>
    <row r="19" spans="1:13" ht="12.75">
      <c r="A19" t="s">
        <v>100</v>
      </c>
      <c r="J19" s="16" t="s">
        <v>80</v>
      </c>
      <c r="K19" s="18" t="s">
        <v>56</v>
      </c>
      <c r="L19" s="23">
        <v>0.5</v>
      </c>
      <c r="M19" s="45">
        <f t="shared" si="0"/>
        <v>341.50158000000005</v>
      </c>
    </row>
    <row r="20" spans="1:13" ht="12.75">
      <c r="A20" t="s">
        <v>125</v>
      </c>
      <c r="J20" s="20"/>
      <c r="K20" s="27" t="s">
        <v>57</v>
      </c>
      <c r="L20" s="28">
        <f>SUM(L6:L19)</f>
        <v>27.03</v>
      </c>
      <c r="M20" s="32">
        <f>SUM(M6:M19)</f>
        <v>18461.5754148</v>
      </c>
    </row>
    <row r="21" spans="1:11" ht="12.75">
      <c r="A21" t="s">
        <v>101</v>
      </c>
      <c r="K21" s="1" t="s">
        <v>58</v>
      </c>
    </row>
    <row r="22" spans="1:13" ht="12.75">
      <c r="A22" t="s">
        <v>102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104</v>
      </c>
      <c r="J24" s="20">
        <v>1</v>
      </c>
      <c r="K24" s="40" t="s">
        <v>137</v>
      </c>
      <c r="L24" s="45"/>
      <c r="M24" s="45">
        <v>8316</v>
      </c>
    </row>
    <row r="25" spans="1:13" ht="12.75">
      <c r="A25" t="s">
        <v>105</v>
      </c>
      <c r="J25" s="20">
        <v>2</v>
      </c>
      <c r="K25" s="40" t="s">
        <v>138</v>
      </c>
      <c r="L25" s="49">
        <f>0.02*184.3</f>
        <v>3.6860000000000004</v>
      </c>
      <c r="M25" s="45">
        <f aca="true" t="shared" si="1" ref="M25:M46">L25*524.58*1.302</f>
        <v>2517.5496477600004</v>
      </c>
    </row>
    <row r="26" spans="1:13" ht="12.75">
      <c r="A26" t="s">
        <v>106</v>
      </c>
      <c r="J26" s="20">
        <v>3</v>
      </c>
      <c r="K26" s="40" t="s">
        <v>147</v>
      </c>
      <c r="L26" s="49">
        <f>0.04*184.3</f>
        <v>7.372000000000001</v>
      </c>
      <c r="M26" s="45">
        <f t="shared" si="1"/>
        <v>5035.099295520001</v>
      </c>
    </row>
    <row r="27" spans="1:13" ht="12.75">
      <c r="A27" s="46" t="s">
        <v>107</v>
      </c>
      <c r="B27" s="46"/>
      <c r="C27" s="46"/>
      <c r="D27" s="46"/>
      <c r="E27" s="46"/>
      <c r="F27" s="46"/>
      <c r="G27" s="46"/>
      <c r="J27" s="20">
        <v>4</v>
      </c>
      <c r="K27" s="40" t="s">
        <v>148</v>
      </c>
      <c r="L27" s="45">
        <v>2.249</v>
      </c>
      <c r="M27" s="45">
        <f t="shared" si="1"/>
        <v>1536.07410684</v>
      </c>
    </row>
    <row r="28" spans="1:13" ht="12.75">
      <c r="A28" t="s">
        <v>108</v>
      </c>
      <c r="B28" s="1"/>
      <c r="C28" s="1"/>
      <c r="D28" s="1"/>
      <c r="J28" s="20">
        <v>5</v>
      </c>
      <c r="K28" s="40" t="s">
        <v>149</v>
      </c>
      <c r="L28" s="45">
        <v>0.81</v>
      </c>
      <c r="M28" s="45">
        <f t="shared" si="1"/>
        <v>553.2325596000002</v>
      </c>
    </row>
    <row r="29" spans="2:13" ht="12.75">
      <c r="B29" s="1"/>
      <c r="C29" s="8"/>
      <c r="D29" s="8"/>
      <c r="J29" s="20">
        <v>6</v>
      </c>
      <c r="K29" s="40" t="s">
        <v>158</v>
      </c>
      <c r="L29" s="45">
        <v>6</v>
      </c>
      <c r="M29" s="45">
        <f t="shared" si="1"/>
        <v>4098.01896</v>
      </c>
    </row>
    <row r="30" spans="10:13" ht="12.75">
      <c r="J30" s="20">
        <v>7</v>
      </c>
      <c r="K30" s="40" t="s">
        <v>161</v>
      </c>
      <c r="L30" s="45">
        <v>1.07</v>
      </c>
      <c r="M30" s="45">
        <f t="shared" si="1"/>
        <v>730.8133812000001</v>
      </c>
    </row>
    <row r="31" spans="2:13" ht="12.75">
      <c r="B31" t="s">
        <v>0</v>
      </c>
      <c r="J31" s="20">
        <v>8</v>
      </c>
      <c r="K31" s="40" t="s">
        <v>163</v>
      </c>
      <c r="L31" s="45">
        <v>0.14</v>
      </c>
      <c r="M31" s="45">
        <f t="shared" si="1"/>
        <v>95.62044240000002</v>
      </c>
    </row>
    <row r="32" spans="10:13" ht="12.75">
      <c r="J32" s="20">
        <v>9</v>
      </c>
      <c r="K32" s="40" t="s">
        <v>165</v>
      </c>
      <c r="L32" s="45">
        <f>0.01*224.9</f>
        <v>2.249</v>
      </c>
      <c r="M32" s="45">
        <f t="shared" si="1"/>
        <v>1536.07410684</v>
      </c>
    </row>
    <row r="33" spans="1:13" ht="12.75">
      <c r="A33" t="s">
        <v>1</v>
      </c>
      <c r="E33">
        <v>3468</v>
      </c>
      <c r="F33" t="s">
        <v>65</v>
      </c>
      <c r="J33" s="20">
        <v>10</v>
      </c>
      <c r="K33" s="40" t="s">
        <v>166</v>
      </c>
      <c r="L33" s="45">
        <v>1.62</v>
      </c>
      <c r="M33" s="45">
        <f t="shared" si="1"/>
        <v>1106.4651192000003</v>
      </c>
    </row>
    <row r="34" spans="1:13" ht="12.75">
      <c r="A34" t="s">
        <v>2</v>
      </c>
      <c r="E34">
        <v>923.5</v>
      </c>
      <c r="F34" t="s">
        <v>65</v>
      </c>
      <c r="J34" s="20">
        <v>11</v>
      </c>
      <c r="K34" s="40" t="s">
        <v>169</v>
      </c>
      <c r="L34" s="45">
        <f>3*0.891</f>
        <v>2.673</v>
      </c>
      <c r="M34" s="45">
        <f t="shared" si="1"/>
        <v>1825.6674466800002</v>
      </c>
    </row>
    <row r="35" spans="1:13" ht="12.75">
      <c r="A35" t="s">
        <v>3</v>
      </c>
      <c r="J35" s="20">
        <v>12</v>
      </c>
      <c r="K35" s="40" t="s">
        <v>174</v>
      </c>
      <c r="L35" s="45">
        <v>0.35</v>
      </c>
      <c r="M35" s="45">
        <f t="shared" si="1"/>
        <v>239.05110600000003</v>
      </c>
    </row>
    <row r="36" spans="1:13" ht="12.75">
      <c r="A36" t="s">
        <v>4</v>
      </c>
      <c r="E36">
        <v>477</v>
      </c>
      <c r="F36" t="s">
        <v>65</v>
      </c>
      <c r="J36" s="20">
        <v>13</v>
      </c>
      <c r="K36" s="40" t="s">
        <v>180</v>
      </c>
      <c r="L36" s="45">
        <v>3</v>
      </c>
      <c r="M36" s="45">
        <f t="shared" si="1"/>
        <v>2049.00948</v>
      </c>
    </row>
    <row r="37" spans="10:13" ht="12.75">
      <c r="J37" s="20">
        <v>14</v>
      </c>
      <c r="K37" s="40" t="s">
        <v>182</v>
      </c>
      <c r="L37" s="45">
        <f>0.02*146.9</f>
        <v>2.938</v>
      </c>
      <c r="M37" s="45">
        <f t="shared" si="1"/>
        <v>2006.6632840800005</v>
      </c>
    </row>
    <row r="38" spans="2:13" ht="12.75">
      <c r="B38" s="1" t="s">
        <v>5</v>
      </c>
      <c r="C38" s="1"/>
      <c r="J38" s="20">
        <v>15</v>
      </c>
      <c r="K38" s="40" t="s">
        <v>183</v>
      </c>
      <c r="L38" s="45">
        <v>1.56</v>
      </c>
      <c r="M38" s="45">
        <f t="shared" si="1"/>
        <v>1065.4849296000002</v>
      </c>
    </row>
    <row r="39" spans="10:13" ht="12.75">
      <c r="J39" s="20">
        <v>16</v>
      </c>
      <c r="K39" s="40" t="s">
        <v>184</v>
      </c>
      <c r="L39" s="45">
        <v>1.03</v>
      </c>
      <c r="M39" s="45">
        <f t="shared" si="1"/>
        <v>703.4932548</v>
      </c>
    </row>
    <row r="40" spans="1:13" ht="12.75">
      <c r="A40" s="2" t="s">
        <v>6</v>
      </c>
      <c r="F40" s="11">
        <f>118812.78</f>
        <v>118812.78</v>
      </c>
      <c r="J40" s="20">
        <v>17</v>
      </c>
      <c r="K40" s="40" t="s">
        <v>185</v>
      </c>
      <c r="L40" s="45">
        <v>1.12</v>
      </c>
      <c r="M40" s="45">
        <f t="shared" si="1"/>
        <v>764.9635392000001</v>
      </c>
    </row>
    <row r="41" spans="1:13" ht="12.75">
      <c r="A41" t="s">
        <v>7</v>
      </c>
      <c r="F41" s="5">
        <v>109371.66</v>
      </c>
      <c r="J41" s="20">
        <v>18</v>
      </c>
      <c r="K41" s="40" t="s">
        <v>194</v>
      </c>
      <c r="L41" s="45">
        <f>0.04*156.46</f>
        <v>6.258400000000001</v>
      </c>
      <c r="M41" s="45">
        <f t="shared" si="1"/>
        <v>4274.506976544001</v>
      </c>
    </row>
    <row r="42" spans="2:13" ht="12.75">
      <c r="B42" t="s">
        <v>8</v>
      </c>
      <c r="F42" s="9">
        <f>F41/F40</f>
        <v>0.9205378411312318</v>
      </c>
      <c r="J42" s="20">
        <v>19</v>
      </c>
      <c r="K42" s="40" t="s">
        <v>195</v>
      </c>
      <c r="L42" s="45">
        <v>1.03</v>
      </c>
      <c r="M42" s="45">
        <f t="shared" si="1"/>
        <v>703.4932548</v>
      </c>
    </row>
    <row r="43" spans="1:13" ht="12.75">
      <c r="A43" t="s">
        <v>132</v>
      </c>
      <c r="F43" s="5">
        <f>400+300+400+400+114.13</f>
        <v>1614.13</v>
      </c>
      <c r="J43" s="20">
        <v>20</v>
      </c>
      <c r="K43" s="40" t="s">
        <v>197</v>
      </c>
      <c r="L43" s="45">
        <f>0.06*7.1</f>
        <v>0.426</v>
      </c>
      <c r="M43" s="45">
        <f t="shared" si="1"/>
        <v>290.95934616</v>
      </c>
    </row>
    <row r="44" spans="1:13" ht="12.75">
      <c r="A44" s="3" t="s">
        <v>9</v>
      </c>
      <c r="B44" s="3"/>
      <c r="C44" s="3"/>
      <c r="D44" s="3"/>
      <c r="E44" s="1"/>
      <c r="F44" s="31">
        <f>F41+F43</f>
        <v>110985.79000000001</v>
      </c>
      <c r="J44" s="20">
        <v>21</v>
      </c>
      <c r="K44" s="20" t="s">
        <v>198</v>
      </c>
      <c r="L44" s="45">
        <f>0.08*89.1</f>
        <v>7.128</v>
      </c>
      <c r="M44" s="45">
        <f t="shared" si="1"/>
        <v>4868.44652448</v>
      </c>
    </row>
    <row r="45" spans="10:13" ht="12.75">
      <c r="J45" s="20">
        <v>22</v>
      </c>
      <c r="K45" s="20"/>
      <c r="L45" s="25"/>
      <c r="M45" s="45">
        <f t="shared" si="1"/>
        <v>0</v>
      </c>
    </row>
    <row r="46" spans="2:13" ht="12.75">
      <c r="B46" s="1" t="s">
        <v>10</v>
      </c>
      <c r="C46" s="1"/>
      <c r="J46" s="20">
        <v>23</v>
      </c>
      <c r="K46" s="20"/>
      <c r="L46" s="25"/>
      <c r="M46" s="45">
        <f t="shared" si="1"/>
        <v>0</v>
      </c>
    </row>
    <row r="47" spans="10:13" ht="12.75">
      <c r="J47" s="20"/>
      <c r="K47" s="29" t="s">
        <v>57</v>
      </c>
      <c r="L47" s="28">
        <f>SUM(L24:L46)</f>
        <v>52.70940000000002</v>
      </c>
      <c r="M47" s="32">
        <f>SUM(M24:M46)</f>
        <v>44316.686761704004</v>
      </c>
    </row>
    <row r="48" spans="1:11" ht="12.75">
      <c r="A48" s="4" t="s">
        <v>11</v>
      </c>
      <c r="B48" s="4"/>
      <c r="C48" s="4"/>
      <c r="D48" s="4"/>
      <c r="E48" s="4"/>
      <c r="F48" s="4"/>
      <c r="K48" s="1" t="s">
        <v>61</v>
      </c>
    </row>
    <row r="49" spans="1:13" ht="12.75">
      <c r="A49" t="s">
        <v>12</v>
      </c>
      <c r="F49" s="11">
        <f>(7100+7100)*1.302</f>
        <v>18488.4</v>
      </c>
      <c r="J49" s="22" t="s">
        <v>35</v>
      </c>
      <c r="K49" s="22"/>
      <c r="L49" s="22" t="s">
        <v>62</v>
      </c>
      <c r="M49" s="22" t="s">
        <v>41</v>
      </c>
    </row>
    <row r="50" spans="1:13" ht="12.75">
      <c r="A50" s="6" t="s">
        <v>15</v>
      </c>
      <c r="F50" s="11">
        <f>(3050+3050)*1.302</f>
        <v>7942.200000000001</v>
      </c>
      <c r="J50" s="23" t="s">
        <v>36</v>
      </c>
      <c r="K50" s="23" t="s">
        <v>37</v>
      </c>
      <c r="L50" s="23"/>
      <c r="M50" s="23" t="s">
        <v>63</v>
      </c>
    </row>
    <row r="51" spans="1:13" ht="12.75">
      <c r="A51" s="56" t="s">
        <v>82</v>
      </c>
      <c r="B51" s="54"/>
      <c r="C51" s="54"/>
      <c r="D51" s="54"/>
      <c r="E51" s="57">
        <v>1.11</v>
      </c>
      <c r="F51" s="57">
        <f>E51*E33</f>
        <v>3849.4800000000005</v>
      </c>
      <c r="J51" s="20">
        <v>1</v>
      </c>
      <c r="K51" s="20" t="s">
        <v>139</v>
      </c>
      <c r="L51" s="25" t="s">
        <v>140</v>
      </c>
      <c r="M51" s="25">
        <f>2*143.34</f>
        <v>286.68</v>
      </c>
    </row>
    <row r="52" spans="1:13" ht="12.75">
      <c r="A52" s="4" t="s">
        <v>33</v>
      </c>
      <c r="F52" s="31">
        <f>F49+F50+F51</f>
        <v>30280.08</v>
      </c>
      <c r="J52" s="20">
        <v>2</v>
      </c>
      <c r="K52" s="20" t="s">
        <v>141</v>
      </c>
      <c r="L52" s="25" t="s">
        <v>142</v>
      </c>
      <c r="M52" s="25">
        <f>2*224.57</f>
        <v>449.14</v>
      </c>
    </row>
    <row r="53" spans="1:13" ht="12.75">
      <c r="A53" s="4" t="s">
        <v>16</v>
      </c>
      <c r="J53" s="20">
        <v>3</v>
      </c>
      <c r="K53" s="20" t="s">
        <v>144</v>
      </c>
      <c r="L53" s="25" t="s">
        <v>142</v>
      </c>
      <c r="M53" s="45">
        <f>2*80.09</f>
        <v>160.18</v>
      </c>
    </row>
    <row r="54" spans="1:13" ht="12.75">
      <c r="A54" t="s">
        <v>74</v>
      </c>
      <c r="C54" s="13"/>
      <c r="D54" s="44">
        <v>0</v>
      </c>
      <c r="E54" s="13" t="s">
        <v>14</v>
      </c>
      <c r="F54" s="11">
        <f>E33*D54</f>
        <v>0</v>
      </c>
      <c r="J54" s="20">
        <v>4</v>
      </c>
      <c r="K54" s="20" t="s">
        <v>145</v>
      </c>
      <c r="L54" s="25" t="s">
        <v>143</v>
      </c>
      <c r="M54" s="25">
        <f>4*6.85</f>
        <v>27.4</v>
      </c>
    </row>
    <row r="55" spans="1:13" ht="12.75">
      <c r="A55" t="s">
        <v>78</v>
      </c>
      <c r="B55">
        <v>923.5</v>
      </c>
      <c r="C55" t="s">
        <v>13</v>
      </c>
      <c r="D55" s="5">
        <v>0.6</v>
      </c>
      <c r="E55" t="s">
        <v>14</v>
      </c>
      <c r="F55" s="11">
        <f>B55*D55</f>
        <v>554.1</v>
      </c>
      <c r="J55" s="20">
        <v>5</v>
      </c>
      <c r="K55" s="20" t="s">
        <v>146</v>
      </c>
      <c r="L55" s="25" t="s">
        <v>142</v>
      </c>
      <c r="M55" s="25">
        <f>2*295.7</f>
        <v>591.4</v>
      </c>
    </row>
    <row r="56" spans="1:13" ht="12.75">
      <c r="A56" s="4" t="s">
        <v>17</v>
      </c>
      <c r="B56" s="10"/>
      <c r="C56" s="10"/>
      <c r="F56" s="31">
        <f>SUM(F54:F55)</f>
        <v>554.1</v>
      </c>
      <c r="J56" s="20">
        <v>6</v>
      </c>
      <c r="K56" s="20" t="s">
        <v>139</v>
      </c>
      <c r="L56" s="25" t="s">
        <v>151</v>
      </c>
      <c r="M56" s="25">
        <f>4*143.34</f>
        <v>573.36</v>
      </c>
    </row>
    <row r="57" spans="1:13" ht="12.75">
      <c r="A57" s="4" t="s">
        <v>18</v>
      </c>
      <c r="B57" s="4"/>
      <c r="J57" s="20">
        <v>7</v>
      </c>
      <c r="K57" s="20" t="s">
        <v>152</v>
      </c>
      <c r="L57" s="25" t="s">
        <v>153</v>
      </c>
      <c r="M57" s="45">
        <v>102.23</v>
      </c>
    </row>
    <row r="58" spans="1:13" ht="12.75">
      <c r="A58" t="s">
        <v>19</v>
      </c>
      <c r="C58">
        <v>1958853</v>
      </c>
      <c r="D58">
        <v>222433.7</v>
      </c>
      <c r="E58">
        <v>3468</v>
      </c>
      <c r="F58" s="33">
        <f>C58/D58*E58</f>
        <v>30540.79576970576</v>
      </c>
      <c r="J58" s="20">
        <v>8</v>
      </c>
      <c r="K58" s="20" t="s">
        <v>154</v>
      </c>
      <c r="L58" s="25" t="s">
        <v>150</v>
      </c>
      <c r="M58" s="25">
        <v>407</v>
      </c>
    </row>
    <row r="59" spans="1:13" ht="12.75">
      <c r="A59" t="s">
        <v>20</v>
      </c>
      <c r="F59" s="33">
        <f>M20</f>
        <v>18461.5754148</v>
      </c>
      <c r="J59" s="20">
        <v>9</v>
      </c>
      <c r="K59" s="53" t="s">
        <v>155</v>
      </c>
      <c r="L59" s="25" t="s">
        <v>142</v>
      </c>
      <c r="M59" s="45">
        <f>2*12.47</f>
        <v>24.94</v>
      </c>
    </row>
    <row r="60" spans="1:13" ht="12.75">
      <c r="A60" t="s">
        <v>21</v>
      </c>
      <c r="F60" s="11">
        <f>M47</f>
        <v>44316.686761704004</v>
      </c>
      <c r="J60" s="20">
        <v>10</v>
      </c>
      <c r="K60" s="53" t="s">
        <v>156</v>
      </c>
      <c r="L60" s="25" t="s">
        <v>142</v>
      </c>
      <c r="M60" s="25">
        <f>2*10.3</f>
        <v>20.6</v>
      </c>
    </row>
    <row r="61" spans="1:13" ht="12.75">
      <c r="A61" t="s">
        <v>71</v>
      </c>
      <c r="F61" s="5">
        <f>0*600*1.302</f>
        <v>0</v>
      </c>
      <c r="J61" s="20">
        <v>11</v>
      </c>
      <c r="K61" s="53" t="s">
        <v>157</v>
      </c>
      <c r="L61" s="25" t="s">
        <v>150</v>
      </c>
      <c r="M61" s="25">
        <v>7.9</v>
      </c>
    </row>
    <row r="62" spans="1:13" ht="12.75">
      <c r="A62" t="s">
        <v>22</v>
      </c>
      <c r="F62" s="11">
        <f>M99</f>
        <v>21524.680000000008</v>
      </c>
      <c r="J62" s="20">
        <v>12</v>
      </c>
      <c r="K62" s="53" t="s">
        <v>159</v>
      </c>
      <c r="L62" s="25" t="s">
        <v>160</v>
      </c>
      <c r="M62" s="25">
        <f>30*0.55</f>
        <v>16.5</v>
      </c>
    </row>
    <row r="63" spans="1:13" ht="12.75">
      <c r="A63" t="s">
        <v>23</v>
      </c>
      <c r="F63" s="5"/>
      <c r="J63" s="20">
        <v>13</v>
      </c>
      <c r="K63" s="53" t="s">
        <v>162</v>
      </c>
      <c r="L63" s="25" t="s">
        <v>150</v>
      </c>
      <c r="M63" s="25">
        <v>251.51</v>
      </c>
    </row>
    <row r="64" spans="1:13" ht="12.75">
      <c r="A64" t="s">
        <v>24</v>
      </c>
      <c r="F64" s="5"/>
      <c r="J64" s="20">
        <v>14</v>
      </c>
      <c r="K64" s="53" t="s">
        <v>164</v>
      </c>
      <c r="L64" s="25" t="s">
        <v>142</v>
      </c>
      <c r="M64" s="25">
        <v>50</v>
      </c>
    </row>
    <row r="65" spans="2:13" ht="12.75">
      <c r="B65">
        <v>3468</v>
      </c>
      <c r="C65" t="s">
        <v>13</v>
      </c>
      <c r="D65" s="11">
        <v>0.94</v>
      </c>
      <c r="E65" t="s">
        <v>14</v>
      </c>
      <c r="F65" s="11">
        <f>B65*D65</f>
        <v>3259.9199999999996</v>
      </c>
      <c r="J65" s="20">
        <v>15</v>
      </c>
      <c r="K65" s="53" t="s">
        <v>152</v>
      </c>
      <c r="L65" s="25" t="s">
        <v>153</v>
      </c>
      <c r="M65" s="25">
        <v>102.23</v>
      </c>
    </row>
    <row r="66" spans="1:13" ht="12.75">
      <c r="A66" s="54" t="s">
        <v>83</v>
      </c>
      <c r="B66" s="54"/>
      <c r="C66" s="54"/>
      <c r="D66" s="55"/>
      <c r="E66" s="54"/>
      <c r="F66" s="55">
        <f>D66*E33</f>
        <v>0</v>
      </c>
      <c r="J66" s="20">
        <v>16</v>
      </c>
      <c r="K66" s="53" t="s">
        <v>154</v>
      </c>
      <c r="L66" s="25" t="s">
        <v>142</v>
      </c>
      <c r="M66" s="25">
        <f>2*407</f>
        <v>814</v>
      </c>
    </row>
    <row r="67" spans="1:13" ht="12.75">
      <c r="A67" s="54" t="s">
        <v>129</v>
      </c>
      <c r="B67" s="54"/>
      <c r="C67" s="54"/>
      <c r="D67" s="55">
        <v>0.8</v>
      </c>
      <c r="E67" s="54"/>
      <c r="F67" s="55">
        <v>0</v>
      </c>
      <c r="J67" s="20">
        <v>17</v>
      </c>
      <c r="K67" s="53" t="s">
        <v>167</v>
      </c>
      <c r="L67" s="25" t="s">
        <v>143</v>
      </c>
      <c r="M67" s="25">
        <f>4*64.28</f>
        <v>257.12</v>
      </c>
    </row>
    <row r="68" spans="1:13" ht="12.75">
      <c r="A68" s="4" t="s">
        <v>25</v>
      </c>
      <c r="B68" s="10"/>
      <c r="C68" s="10"/>
      <c r="F68" s="31">
        <f>SUM(F58:F67)</f>
        <v>118103.65794620977</v>
      </c>
      <c r="J68" s="20">
        <v>18</v>
      </c>
      <c r="K68" s="53" t="s">
        <v>168</v>
      </c>
      <c r="L68" s="25" t="s">
        <v>142</v>
      </c>
      <c r="M68" s="25">
        <f>2*8.64</f>
        <v>17.28</v>
      </c>
    </row>
    <row r="69" spans="1:13" ht="12.75">
      <c r="A69" s="4" t="s">
        <v>26</v>
      </c>
      <c r="J69" s="20">
        <v>19</v>
      </c>
      <c r="K69" s="53" t="s">
        <v>170</v>
      </c>
      <c r="L69" s="25" t="s">
        <v>171</v>
      </c>
      <c r="M69" s="25">
        <f>3*239</f>
        <v>717</v>
      </c>
    </row>
    <row r="70" spans="1:13" ht="12.75">
      <c r="A70" t="s">
        <v>27</v>
      </c>
      <c r="B70">
        <v>3468</v>
      </c>
      <c r="C70" t="s">
        <v>65</v>
      </c>
      <c r="D70" s="5">
        <v>0.49</v>
      </c>
      <c r="E70" t="s">
        <v>14</v>
      </c>
      <c r="F70" s="11">
        <f>B70*D70</f>
        <v>1699.32</v>
      </c>
      <c r="J70" s="20">
        <v>20</v>
      </c>
      <c r="K70" s="53" t="s">
        <v>159</v>
      </c>
      <c r="L70" s="25" t="s">
        <v>172</v>
      </c>
      <c r="M70" s="25">
        <f>6*0.55</f>
        <v>3.3000000000000003</v>
      </c>
    </row>
    <row r="71" spans="1:13" ht="12.75">
      <c r="A71" t="s">
        <v>28</v>
      </c>
      <c r="J71" s="20">
        <v>21</v>
      </c>
      <c r="K71" s="53" t="s">
        <v>173</v>
      </c>
      <c r="L71" s="25" t="s">
        <v>172</v>
      </c>
      <c r="M71" s="25">
        <f>6*0.82</f>
        <v>4.92</v>
      </c>
    </row>
    <row r="72" spans="1:13" ht="12.75">
      <c r="A72" s="7" t="s">
        <v>72</v>
      </c>
      <c r="J72" s="20">
        <v>22</v>
      </c>
      <c r="K72" s="53" t="s">
        <v>164</v>
      </c>
      <c r="L72" s="25" t="s">
        <v>175</v>
      </c>
      <c r="M72" s="25">
        <f>5*11.56</f>
        <v>57.800000000000004</v>
      </c>
    </row>
    <row r="73" spans="2:13" ht="12.75">
      <c r="B73">
        <v>3468</v>
      </c>
      <c r="C73" t="s">
        <v>13</v>
      </c>
      <c r="D73" s="11">
        <v>2.56</v>
      </c>
      <c r="E73" t="s">
        <v>14</v>
      </c>
      <c r="F73" s="11">
        <f>B73*D73</f>
        <v>8878.08</v>
      </c>
      <c r="J73" s="20">
        <v>23</v>
      </c>
      <c r="K73" s="53" t="s">
        <v>176</v>
      </c>
      <c r="L73" s="25" t="s">
        <v>143</v>
      </c>
      <c r="M73" s="25">
        <f>4*2000</f>
        <v>8000</v>
      </c>
    </row>
    <row r="74" spans="1:13" ht="12.75">
      <c r="A74" s="4" t="s">
        <v>29</v>
      </c>
      <c r="F74" s="31">
        <f>F70+F73</f>
        <v>10577.4</v>
      </c>
      <c r="J74" s="20">
        <v>24</v>
      </c>
      <c r="K74" s="53" t="s">
        <v>177</v>
      </c>
      <c r="L74" s="25" t="s">
        <v>178</v>
      </c>
      <c r="M74" s="25">
        <f>31*30</f>
        <v>930</v>
      </c>
    </row>
    <row r="75" spans="1:13" ht="12.75">
      <c r="A75" s="4" t="s">
        <v>30</v>
      </c>
      <c r="J75" s="20">
        <v>25</v>
      </c>
      <c r="K75" s="53" t="s">
        <v>179</v>
      </c>
      <c r="L75" s="25" t="s">
        <v>171</v>
      </c>
      <c r="M75" s="25">
        <f>3*350.94</f>
        <v>1052.82</v>
      </c>
    </row>
    <row r="76" spans="1:13" ht="12.75">
      <c r="A76" s="7" t="s">
        <v>73</v>
      </c>
      <c r="B76" s="7"/>
      <c r="C76" s="7"/>
      <c r="D76" s="7"/>
      <c r="E76" s="7"/>
      <c r="F76" s="7"/>
      <c r="J76" s="20">
        <v>26</v>
      </c>
      <c r="K76" s="53" t="s">
        <v>159</v>
      </c>
      <c r="L76" s="25" t="s">
        <v>181</v>
      </c>
      <c r="M76" s="25">
        <f>60*0.55</f>
        <v>33</v>
      </c>
    </row>
    <row r="77" spans="2:13" ht="12.75">
      <c r="B77">
        <v>3468</v>
      </c>
      <c r="C77" t="s">
        <v>13</v>
      </c>
      <c r="D77" s="11">
        <v>6.31</v>
      </c>
      <c r="E77" t="s">
        <v>14</v>
      </c>
      <c r="F77" s="11">
        <f>B77*D77</f>
        <v>21883.079999999998</v>
      </c>
      <c r="J77" s="20">
        <v>27</v>
      </c>
      <c r="K77" s="53" t="s">
        <v>186</v>
      </c>
      <c r="L77" s="25" t="s">
        <v>140</v>
      </c>
      <c r="M77" s="25">
        <f>2*571.35</f>
        <v>1142.7</v>
      </c>
    </row>
    <row r="78" spans="1:13" ht="12.75">
      <c r="A78" s="4" t="s">
        <v>31</v>
      </c>
      <c r="F78" s="8">
        <f>SUM(F77)</f>
        <v>21883.079999999998</v>
      </c>
      <c r="J78" s="20">
        <v>28</v>
      </c>
      <c r="K78" s="53" t="s">
        <v>187</v>
      </c>
      <c r="L78" s="25" t="s">
        <v>150</v>
      </c>
      <c r="M78" s="25">
        <v>176</v>
      </c>
    </row>
    <row r="79" spans="1:13" ht="12.75">
      <c r="A79" s="58" t="s">
        <v>77</v>
      </c>
      <c r="B79" s="54"/>
      <c r="C79" s="54"/>
      <c r="D79" s="57">
        <v>2.26</v>
      </c>
      <c r="E79" s="54"/>
      <c r="F79" s="59">
        <f>D79*E33</f>
        <v>7837.679999999999</v>
      </c>
      <c r="J79" s="20">
        <v>29</v>
      </c>
      <c r="K79" s="53" t="s">
        <v>188</v>
      </c>
      <c r="L79" s="25" t="s">
        <v>150</v>
      </c>
      <c r="M79" s="25">
        <v>95.75</v>
      </c>
    </row>
    <row r="80" spans="1:13" ht="12.75">
      <c r="A80" s="1" t="s">
        <v>32</v>
      </c>
      <c r="B80" s="1"/>
      <c r="F80" s="31">
        <f>F52+F56+F68+F74+F78+F79</f>
        <v>189235.99794620974</v>
      </c>
      <c r="J80" s="20">
        <v>30</v>
      </c>
      <c r="K80" s="53" t="s">
        <v>189</v>
      </c>
      <c r="L80" s="25" t="s">
        <v>150</v>
      </c>
      <c r="M80" s="25">
        <v>68</v>
      </c>
    </row>
    <row r="81" spans="1:13" ht="12.75">
      <c r="A81" s="1" t="s">
        <v>75</v>
      </c>
      <c r="B81" s="34"/>
      <c r="C81" s="34">
        <v>0.058</v>
      </c>
      <c r="D81" s="1"/>
      <c r="E81" s="1"/>
      <c r="F81" s="31">
        <f>F80*5.8%</f>
        <v>10975.687880880165</v>
      </c>
      <c r="J81" s="20">
        <v>31</v>
      </c>
      <c r="K81" s="53" t="s">
        <v>190</v>
      </c>
      <c r="L81" s="25" t="s">
        <v>153</v>
      </c>
      <c r="M81" s="25">
        <v>234.58</v>
      </c>
    </row>
    <row r="82" spans="1:13" ht="12.75">
      <c r="A82" s="1"/>
      <c r="B82" s="34" t="s">
        <v>126</v>
      </c>
      <c r="C82" s="34"/>
      <c r="D82" s="1"/>
      <c r="E82" s="51"/>
      <c r="F82" s="52">
        <f>9661.2+9114.12</f>
        <v>18775.32</v>
      </c>
      <c r="J82" s="20">
        <v>32</v>
      </c>
      <c r="K82" s="53" t="s">
        <v>191</v>
      </c>
      <c r="L82" s="25" t="s">
        <v>150</v>
      </c>
      <c r="M82" s="25">
        <v>1172.33</v>
      </c>
    </row>
    <row r="83" spans="1:13" ht="12.75">
      <c r="A83" s="1"/>
      <c r="B83" s="34" t="s">
        <v>127</v>
      </c>
      <c r="C83" s="34"/>
      <c r="D83" s="1"/>
      <c r="E83" s="51"/>
      <c r="F83" s="52">
        <f>431.3+431.3</f>
        <v>862.6</v>
      </c>
      <c r="J83" s="20">
        <v>33</v>
      </c>
      <c r="K83" s="53" t="s">
        <v>192</v>
      </c>
      <c r="L83" s="25" t="s">
        <v>142</v>
      </c>
      <c r="M83" s="25">
        <f>2*61.71</f>
        <v>123.42</v>
      </c>
    </row>
    <row r="84" spans="1:13" ht="12.75">
      <c r="A84" s="1"/>
      <c r="B84" s="34" t="s">
        <v>128</v>
      </c>
      <c r="C84" s="34"/>
      <c r="D84" s="1"/>
      <c r="E84" s="51"/>
      <c r="F84" s="52">
        <f>2536.44+2536.44</f>
        <v>5072.88</v>
      </c>
      <c r="J84" s="20">
        <v>34</v>
      </c>
      <c r="K84" s="53" t="s">
        <v>145</v>
      </c>
      <c r="L84" s="25" t="s">
        <v>171</v>
      </c>
      <c r="M84" s="25">
        <f>3*6.85</f>
        <v>20.549999999999997</v>
      </c>
    </row>
    <row r="85" spans="1:13" ht="15">
      <c r="A85" s="12" t="s">
        <v>34</v>
      </c>
      <c r="B85" s="12"/>
      <c r="C85" s="12"/>
      <c r="D85" s="12"/>
      <c r="E85" s="12"/>
      <c r="F85" s="41">
        <f>F80+F81+F82+F83+F84</f>
        <v>224922.48582708993</v>
      </c>
      <c r="I85" s="7"/>
      <c r="J85" s="20">
        <v>35</v>
      </c>
      <c r="K85" s="53" t="s">
        <v>193</v>
      </c>
      <c r="L85" s="25" t="s">
        <v>150</v>
      </c>
      <c r="M85" s="25">
        <v>32.21</v>
      </c>
    </row>
    <row r="86" spans="2:13" ht="12.75">
      <c r="B86" s="35" t="s">
        <v>67</v>
      </c>
      <c r="C86" s="36" t="s">
        <v>68</v>
      </c>
      <c r="D86" s="22" t="s">
        <v>69</v>
      </c>
      <c r="E86" s="22" t="s">
        <v>70</v>
      </c>
      <c r="F86" s="39" t="s">
        <v>136</v>
      </c>
      <c r="J86" s="20">
        <v>36</v>
      </c>
      <c r="K86" s="53" t="s">
        <v>190</v>
      </c>
      <c r="L86" s="25" t="s">
        <v>151</v>
      </c>
      <c r="M86" s="25">
        <f>4*234.58</f>
        <v>938.32</v>
      </c>
    </row>
    <row r="87" spans="1:13" ht="12.75">
      <c r="A87" s="13"/>
      <c r="B87" s="37">
        <v>45597</v>
      </c>
      <c r="C87" s="38">
        <v>-1066137</v>
      </c>
      <c r="D87" s="42">
        <f>F44</f>
        <v>110985.79000000001</v>
      </c>
      <c r="E87" s="42">
        <f>F85</f>
        <v>224922.48582708993</v>
      </c>
      <c r="F87" s="43">
        <f>C87+D87-E87</f>
        <v>-1180073.69582709</v>
      </c>
      <c r="J87" s="20">
        <v>37</v>
      </c>
      <c r="K87" s="53" t="s">
        <v>196</v>
      </c>
      <c r="L87" s="25" t="s">
        <v>171</v>
      </c>
      <c r="M87" s="25">
        <f>3*129.02</f>
        <v>387.06000000000006</v>
      </c>
    </row>
    <row r="88" spans="10:13" ht="12.75">
      <c r="J88" s="20">
        <v>38</v>
      </c>
      <c r="K88" s="53" t="s">
        <v>191</v>
      </c>
      <c r="L88" s="25" t="s">
        <v>150</v>
      </c>
      <c r="M88" s="25">
        <v>1172.33</v>
      </c>
    </row>
    <row r="89" spans="1:13" ht="13.5" thickBot="1">
      <c r="A89" t="s">
        <v>110</v>
      </c>
      <c r="C89" s="47" t="s">
        <v>135</v>
      </c>
      <c r="D89" s="8" t="s">
        <v>111</v>
      </c>
      <c r="E89" s="47">
        <v>45291</v>
      </c>
      <c r="F89" t="s">
        <v>112</v>
      </c>
      <c r="J89" s="20">
        <v>39</v>
      </c>
      <c r="K89" s="53" t="s">
        <v>164</v>
      </c>
      <c r="L89" s="25" t="s">
        <v>172</v>
      </c>
      <c r="M89" s="25">
        <f>6*15.9</f>
        <v>95.4</v>
      </c>
    </row>
    <row r="90" spans="1:13" ht="13.5" thickBot="1">
      <c r="A90" t="s">
        <v>113</v>
      </c>
      <c r="F90" s="48">
        <f>E87</f>
        <v>224922.48582708993</v>
      </c>
      <c r="G90" t="s">
        <v>14</v>
      </c>
      <c r="J90" s="20">
        <v>40</v>
      </c>
      <c r="K90" s="53" t="s">
        <v>170</v>
      </c>
      <c r="L90" s="25" t="s">
        <v>142</v>
      </c>
      <c r="M90" s="25">
        <f>2*239</f>
        <v>478</v>
      </c>
    </row>
    <row r="91" spans="1:13" ht="12.75">
      <c r="A91" t="s">
        <v>114</v>
      </c>
      <c r="J91" s="20">
        <v>41</v>
      </c>
      <c r="K91" s="53" t="s">
        <v>173</v>
      </c>
      <c r="L91" s="25" t="s">
        <v>143</v>
      </c>
      <c r="M91" s="25">
        <f>4*0.72</f>
        <v>2.88</v>
      </c>
    </row>
    <row r="92" spans="1:13" ht="12.75">
      <c r="A92" t="s">
        <v>115</v>
      </c>
      <c r="J92" s="20">
        <v>42</v>
      </c>
      <c r="K92" s="53" t="s">
        <v>159</v>
      </c>
      <c r="L92" s="25" t="s">
        <v>143</v>
      </c>
      <c r="M92" s="25">
        <f>4*0.96</f>
        <v>3.84</v>
      </c>
    </row>
    <row r="93" spans="1:13" ht="12.75">
      <c r="A93" t="s">
        <v>116</v>
      </c>
      <c r="J93" s="20">
        <v>43</v>
      </c>
      <c r="K93" s="53" t="s">
        <v>199</v>
      </c>
      <c r="L93" s="25" t="s">
        <v>200</v>
      </c>
      <c r="M93" s="25">
        <f>5*84.6</f>
        <v>423</v>
      </c>
    </row>
    <row r="94" spans="1:13" ht="12.75">
      <c r="A94" t="s">
        <v>117</v>
      </c>
      <c r="J94" s="20">
        <v>44</v>
      </c>
      <c r="K94" s="53"/>
      <c r="L94" s="25"/>
      <c r="M94" s="25"/>
    </row>
    <row r="95" spans="1:13" ht="12.75">
      <c r="A95" t="s">
        <v>118</v>
      </c>
      <c r="J95" s="20">
        <v>45</v>
      </c>
      <c r="K95" s="53"/>
      <c r="L95" s="25"/>
      <c r="M95" s="25"/>
    </row>
    <row r="96" spans="1:13" ht="12.75">
      <c r="A96" t="s">
        <v>119</v>
      </c>
      <c r="J96" s="20">
        <v>46</v>
      </c>
      <c r="K96" s="53"/>
      <c r="L96" s="25"/>
      <c r="M96" s="25"/>
    </row>
    <row r="97" spans="1:13" ht="12.75">
      <c r="A97" t="s">
        <v>120</v>
      </c>
      <c r="J97" s="20">
        <v>47</v>
      </c>
      <c r="K97" s="20"/>
      <c r="L97" s="25"/>
      <c r="M97" s="25"/>
    </row>
    <row r="98" spans="10:13" ht="12.75">
      <c r="J98" s="20">
        <v>48</v>
      </c>
      <c r="K98" s="20"/>
      <c r="L98" s="25"/>
      <c r="M98" s="25"/>
    </row>
    <row r="99" spans="2:13" ht="12.75">
      <c r="B99" t="s">
        <v>121</v>
      </c>
      <c r="J99" s="20"/>
      <c r="K99" s="20"/>
      <c r="L99" s="30" t="s">
        <v>64</v>
      </c>
      <c r="M99" s="32">
        <f>SUM(M51:M98)</f>
        <v>21524.680000000008</v>
      </c>
    </row>
    <row r="101" ht="12.75">
      <c r="A101" t="s">
        <v>122</v>
      </c>
    </row>
    <row r="104" ht="12.75">
      <c r="A104" t="s">
        <v>123</v>
      </c>
    </row>
    <row r="106" ht="12.75">
      <c r="A106" t="s">
        <v>124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2023-01-12T17:19:33Z</cp:lastPrinted>
  <dcterms:created xsi:type="dcterms:W3CDTF">2008-08-18T07:30:19Z</dcterms:created>
  <dcterms:modified xsi:type="dcterms:W3CDTF">2024-02-26T13:00:36Z</dcterms:modified>
  <cp:category/>
  <cp:version/>
  <cp:contentType/>
  <cp:contentStatus/>
</cp:coreProperties>
</file>