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<sst xmlns="http://schemas.openxmlformats.org/spreadsheetml/2006/main" count="233" uniqueCount="189">
  <si>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</si>
  <si>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</si>
  <si>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</si>
  <si>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</si>
  <si>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</si>
  <si>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</si>
  <si>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</si>
  <si>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</si>
  <si>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</si>
  <si>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</si>
  <si>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</si>
  <si>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</si>
  <si>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</si>
  <si>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</si>
  <si>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</si>
  <si>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</si>
  <si>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</si>
  <si>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</si>
  <si>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</si>
  <si>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</si>
  <si>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</si>
  <si>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</si>
  <si>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</si>
  <si>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</si>
  <si>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</si>
  <si>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</si>
  <si>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</si>
  <si>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</si>
  <si>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</si>
  <si>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</si>
  <si>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</si>
  <si>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</si>
  <si>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</si>
  <si>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</si>
  <si>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</si>
  <si>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</si>
  <si>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</si>
  <si>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</si>
  <si>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</si>
  <si>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</si>
  <si>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</si>
  <si>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</si>
  <si>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</si>
  <si>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</si>
  <si>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</si>
  <si>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</si>
  <si>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</si>
  <si>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</si>
  <si>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</si>
  <si>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</si>
  <si>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</si>
  <si>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</si>
  <si>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</si>
  <si>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</si>
  <si>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</si>
  <si>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</si>
  <si>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</si>
  <si>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</si>
  <si>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</si>
  <si>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</si>
  <si>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</si>
  <si>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</si>
  <si>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</si>
  <si>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</si>
  <si>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</si>
  <si>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</si>
  <si>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</si>
  <si>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</si>
  <si>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</si>
  <si>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</si>
  <si>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</si>
  <si>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</si>
  <si>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</si>
  <si>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</si>
  <si>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</si>
  <si>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</si>
  <si>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</si>
  <si>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</si>
  <si>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</si>
  <si>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</si>
  <si>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</si>
  <si>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</si>
  <si>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</si>
  <si>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</si>
  <si>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</si>
  <si>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</si>
  <si>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</si>
  <si>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</si>
  <si>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</si>
  <si>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</si>
  <si>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</si>
  <si>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</si>
  <si>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</si>
  <si>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</si>
  <si>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</si>
  <si>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</si>
  <si>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</si>
  <si>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</si>
  <si>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</si>
  <si>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</si>
  <si>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</si>
  <si>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</si>
  <si>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</si>
  <si>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</si>
  <si>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</si>
  <si>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</si>
  <si>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</si>
  <si>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</si>
  <si>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</si>
  <si>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</si>
  <si>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</si>
  <si>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</si>
  <si>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</si>
  <si>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</si>
  <si>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</si>
  <si>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</si>
  <si>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</si>
  <si>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</si>
  <si>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</si>
  <si>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</si>
  <si>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</si>
  <si>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</si>
  <si>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</si>
  <si>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</si>
  <si>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</si>
  <si>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</si>
  <si>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</si>
  <si>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</si>
  <si>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</si>
  <si>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</si>
  <si>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</si>
  <si>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2023 г.</t>
  </si>
  <si>
    <t>1.2 Аренда (Ростелеком, МТС)</t>
  </si>
  <si>
    <t>декабря</t>
  </si>
  <si>
    <t>за   ноябрь-декабрь  2023 г.</t>
  </si>
  <si>
    <t>01.11.2023г.</t>
  </si>
  <si>
    <t>ост.на 01.01</t>
  </si>
  <si>
    <t>вышка</t>
  </si>
  <si>
    <t>работа по договору</t>
  </si>
  <si>
    <t>прочистка канализации</t>
  </si>
  <si>
    <t>откачка воды из тех.подполий</t>
  </si>
  <si>
    <t>материалы для работ по договору ремонт п-да 2</t>
  </si>
  <si>
    <t>смена светильника (3шт) п-д1,3</t>
  </si>
  <si>
    <t>светильник</t>
  </si>
  <si>
    <t>3шт</t>
  </si>
  <si>
    <t>откачка воды из техподполья</t>
  </si>
  <si>
    <t>уст-ка хомута (2шт) т.п.</t>
  </si>
  <si>
    <t>хомут</t>
  </si>
  <si>
    <t>2шт</t>
  </si>
  <si>
    <t xml:space="preserve">смена труб д 20 (1мп) </t>
  </si>
  <si>
    <t xml:space="preserve">смена труб д 25 (4мп) </t>
  </si>
  <si>
    <t>американка 25</t>
  </si>
  <si>
    <t>6шт</t>
  </si>
  <si>
    <t>муфта комб. 25</t>
  </si>
  <si>
    <t>4шт</t>
  </si>
  <si>
    <t>тройник 25</t>
  </si>
  <si>
    <t>тройник 25/20</t>
  </si>
  <si>
    <t>муфта паечная 25</t>
  </si>
  <si>
    <t>труба д 20</t>
  </si>
  <si>
    <t>1мп</t>
  </si>
  <si>
    <t>труба д 25</t>
  </si>
  <si>
    <t>4мп</t>
  </si>
  <si>
    <t>уголок 25</t>
  </si>
  <si>
    <t>8шт</t>
  </si>
  <si>
    <t>смена вентиля д 20 (2шт) подвал</t>
  </si>
  <si>
    <t>слив и заполнение системы отопления (подвал)</t>
  </si>
  <si>
    <t>бочонок 20</t>
  </si>
  <si>
    <t>1шт</t>
  </si>
  <si>
    <t>вентиль д 20</t>
  </si>
  <si>
    <t>бетоноконтакт</t>
  </si>
  <si>
    <t>штукатурка</t>
  </si>
  <si>
    <t>200кг</t>
  </si>
  <si>
    <t>цемент</t>
  </si>
  <si>
    <t>25кг</t>
  </si>
  <si>
    <t xml:space="preserve">ремонт, установка заборчика (20мп) </t>
  </si>
  <si>
    <t>доска</t>
  </si>
  <si>
    <t>саморез</t>
  </si>
  <si>
    <t>50шт</t>
  </si>
  <si>
    <t>уст-ка заглушки (1шт)</t>
  </si>
  <si>
    <t>манжета 70х50</t>
  </si>
  <si>
    <t>полуотвод 50</t>
  </si>
  <si>
    <t>заглушка 50</t>
  </si>
  <si>
    <t xml:space="preserve">смена вентиля д 20 (1шт) </t>
  </si>
  <si>
    <t>полоса 4</t>
  </si>
  <si>
    <t>9мп</t>
  </si>
  <si>
    <t>отлив</t>
  </si>
  <si>
    <t>300шт</t>
  </si>
  <si>
    <t xml:space="preserve">герметик </t>
  </si>
  <si>
    <t>15шт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</si>
</sst>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="90" zoomScaleNormal="90" zoomScalePageLayoutView="0" workbookViewId="0" topLeftCell="A43">
      <selection activeCell="K81" sqref="K81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11</v>
      </c>
      <c r="E2" s="62">
        <v>12</v>
      </c>
      <c r="K2" s="5" t="s">
        <v>134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76</v>
      </c>
      <c r="L6" s="25">
        <v>3.28</v>
      </c>
      <c r="M6" s="47">
        <f>L6*524.58*1.302</f>
        <v>2240.2503648</v>
      </c>
    </row>
    <row r="7" spans="2:13" ht="12.75">
      <c r="B7" t="s">
        <v>90</v>
      </c>
      <c r="C7" s="1" t="s">
        <v>91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96</v>
      </c>
      <c r="J13" s="16"/>
      <c r="K13" s="18" t="s">
        <v>82</v>
      </c>
      <c r="L13" s="23">
        <v>4.02</v>
      </c>
      <c r="M13" s="47">
        <f t="shared" si="0"/>
        <v>2745.6727032</v>
      </c>
    </row>
    <row r="14" spans="1:13" ht="12.75">
      <c r="A14" t="s">
        <v>97</v>
      </c>
      <c r="J14" s="20">
        <v>5</v>
      </c>
      <c r="K14" s="19" t="s">
        <v>49</v>
      </c>
      <c r="L14" s="25">
        <v>7.89</v>
      </c>
      <c r="M14" s="47">
        <f t="shared" si="0"/>
        <v>5388.8949324000005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4.02</v>
      </c>
      <c r="M16" s="47">
        <f t="shared" si="0"/>
        <v>2745.6727032</v>
      </c>
    </row>
    <row r="17" spans="5:13" ht="12.75">
      <c r="E17" t="s">
        <v>100</v>
      </c>
      <c r="J17" s="15" t="s">
        <v>53</v>
      </c>
      <c r="K17" s="26" t="s">
        <v>81</v>
      </c>
      <c r="L17" s="21">
        <v>6</v>
      </c>
      <c r="M17" s="47">
        <f t="shared" si="0"/>
        <v>4098.01896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47">
        <f t="shared" si="0"/>
        <v>737.6434128000001</v>
      </c>
    </row>
    <row r="19" spans="1:13" ht="12.75">
      <c r="A19" t="s">
        <v>102</v>
      </c>
      <c r="J19" s="16" t="s">
        <v>80</v>
      </c>
      <c r="K19" s="18" t="s">
        <v>56</v>
      </c>
      <c r="L19" s="48">
        <v>0.5</v>
      </c>
      <c r="M19" s="47">
        <f t="shared" si="0"/>
        <v>341.50158000000005</v>
      </c>
    </row>
    <row r="20" spans="1:13" ht="12.75">
      <c r="A20" t="s">
        <v>103</v>
      </c>
      <c r="J20" s="20"/>
      <c r="K20" s="27" t="s">
        <v>57</v>
      </c>
      <c r="L20" s="34">
        <f>SUM(L6:L19)</f>
        <v>26.79</v>
      </c>
      <c r="M20" s="34">
        <f>SUM(M6:M19)</f>
        <v>18297.654656400002</v>
      </c>
    </row>
    <row r="21" spans="1:11" ht="12.75">
      <c r="A21" t="s">
        <v>127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47"/>
      <c r="M24" s="33">
        <v>87526.95</v>
      </c>
    </row>
    <row r="25" spans="1:13" ht="12.75">
      <c r="A25" t="s">
        <v>107</v>
      </c>
      <c r="J25" s="20">
        <v>2</v>
      </c>
      <c r="K25" s="20" t="s">
        <v>138</v>
      </c>
      <c r="L25" s="47"/>
      <c r="M25" s="33">
        <v>11880</v>
      </c>
    </row>
    <row r="26" spans="1:13" ht="12.75">
      <c r="A26" t="s">
        <v>108</v>
      </c>
      <c r="J26" s="20">
        <v>3</v>
      </c>
      <c r="K26" s="20" t="s">
        <v>138</v>
      </c>
      <c r="L26" s="47"/>
      <c r="M26" s="33">
        <v>7100</v>
      </c>
    </row>
    <row r="27" spans="1:13" ht="12.75">
      <c r="A27" s="52" t="s">
        <v>109</v>
      </c>
      <c r="B27" s="52"/>
      <c r="C27" s="52"/>
      <c r="D27" s="52"/>
      <c r="E27" s="52"/>
      <c r="F27" s="52"/>
      <c r="G27" s="52"/>
      <c r="J27" s="20">
        <v>4</v>
      </c>
      <c r="K27" s="20" t="s">
        <v>138</v>
      </c>
      <c r="L27" s="47"/>
      <c r="M27" s="33">
        <v>19000</v>
      </c>
    </row>
    <row r="28" spans="1:13" ht="12.75">
      <c r="A28" t="s">
        <v>110</v>
      </c>
      <c r="B28" s="1"/>
      <c r="C28" s="1"/>
      <c r="D28" s="1"/>
      <c r="J28" s="20">
        <v>5</v>
      </c>
      <c r="K28" s="20" t="s">
        <v>139</v>
      </c>
      <c r="L28" s="47">
        <v>4.83</v>
      </c>
      <c r="M28" s="33">
        <f aca="true" t="shared" si="1" ref="M28:M47">L28*524.58*1.15*1.302</f>
        <v>3793.7410522200003</v>
      </c>
    </row>
    <row r="29" spans="1:13" ht="12.75">
      <c r="A29" t="s">
        <v>111</v>
      </c>
      <c r="B29" s="1"/>
      <c r="C29" s="8"/>
      <c r="D29" s="8"/>
      <c r="J29" s="20">
        <v>6</v>
      </c>
      <c r="K29" s="20" t="s">
        <v>140</v>
      </c>
      <c r="L29" s="47">
        <v>1.75</v>
      </c>
      <c r="M29" s="33">
        <f t="shared" si="1"/>
        <v>1374.5438595</v>
      </c>
    </row>
    <row r="30" spans="10:13" ht="12.75">
      <c r="J30" s="20">
        <v>7</v>
      </c>
      <c r="K30" s="20" t="s">
        <v>142</v>
      </c>
      <c r="L30" s="47">
        <f>3*0.89</f>
        <v>2.67</v>
      </c>
      <c r="M30" s="33">
        <f t="shared" si="1"/>
        <v>2097.1612027799997</v>
      </c>
    </row>
    <row r="31" spans="2:13" ht="12.75">
      <c r="B31" t="s">
        <v>0</v>
      </c>
      <c r="J31" s="20">
        <v>8</v>
      </c>
      <c r="K31" s="20" t="s">
        <v>145</v>
      </c>
      <c r="L31" s="47">
        <f>0.25*7</f>
        <v>1.75</v>
      </c>
      <c r="M31" s="33">
        <f t="shared" si="1"/>
        <v>1374.5438595</v>
      </c>
    </row>
    <row r="32" spans="10:13" ht="12.75">
      <c r="J32" s="20">
        <v>9</v>
      </c>
      <c r="K32" s="20" t="s">
        <v>146</v>
      </c>
      <c r="L32" s="47">
        <v>2</v>
      </c>
      <c r="M32" s="33">
        <f t="shared" si="1"/>
        <v>1570.9072680000002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 t="s">
        <v>149</v>
      </c>
      <c r="L33" s="47">
        <v>2.249</v>
      </c>
      <c r="M33" s="33">
        <f t="shared" si="1"/>
        <v>1766.485222866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 t="s">
        <v>150</v>
      </c>
      <c r="L34" s="47">
        <f>0.04*184.3</f>
        <v>7.372000000000001</v>
      </c>
      <c r="M34" s="33">
        <f t="shared" si="1"/>
        <v>5790.364189848</v>
      </c>
    </row>
    <row r="35" spans="1:13" ht="12.75">
      <c r="A35" t="s">
        <v>3</v>
      </c>
      <c r="J35" s="20">
        <v>12</v>
      </c>
      <c r="K35" s="20" t="s">
        <v>165</v>
      </c>
      <c r="L35" s="47">
        <v>2.5</v>
      </c>
      <c r="M35" s="33">
        <f t="shared" si="1"/>
        <v>1963.6340850000001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 t="s">
        <v>164</v>
      </c>
      <c r="L36" s="25">
        <v>1.62</v>
      </c>
      <c r="M36" s="33">
        <f t="shared" si="1"/>
        <v>1272.4348870800002</v>
      </c>
    </row>
    <row r="37" spans="10:13" ht="12.75">
      <c r="J37" s="20">
        <v>14</v>
      </c>
      <c r="K37" s="20" t="s">
        <v>174</v>
      </c>
      <c r="L37" s="47">
        <v>3.2</v>
      </c>
      <c r="M37" s="33">
        <f t="shared" si="1"/>
        <v>2513.4516288</v>
      </c>
    </row>
    <row r="38" spans="2:13" ht="12.75">
      <c r="B38" s="1" t="s">
        <v>5</v>
      </c>
      <c r="C38" s="1"/>
      <c r="J38" s="20">
        <v>15</v>
      </c>
      <c r="K38" s="20" t="s">
        <v>139</v>
      </c>
      <c r="L38" s="25">
        <v>4.83</v>
      </c>
      <c r="M38" s="33">
        <f t="shared" si="1"/>
        <v>3793.7410522200003</v>
      </c>
    </row>
    <row r="39" spans="10:13" ht="12.75">
      <c r="J39" s="20">
        <v>16</v>
      </c>
      <c r="K39" s="20" t="s">
        <v>178</v>
      </c>
      <c r="L39" s="25">
        <v>1.12</v>
      </c>
      <c r="M39" s="33">
        <f t="shared" si="1"/>
        <v>879.7080700800001</v>
      </c>
    </row>
    <row r="40" spans="1:13" ht="12.75">
      <c r="A40" s="2" t="s">
        <v>6</v>
      </c>
      <c r="F40" s="11">
        <v>94275.44</v>
      </c>
      <c r="J40" s="20">
        <v>17</v>
      </c>
      <c r="K40" s="20" t="s">
        <v>182</v>
      </c>
      <c r="L40" s="25">
        <v>0.81</v>
      </c>
      <c r="M40" s="33">
        <f t="shared" si="1"/>
        <v>636.2174435400001</v>
      </c>
    </row>
    <row r="41" spans="1:13" ht="12.75">
      <c r="A41" t="s">
        <v>7</v>
      </c>
      <c r="F41" s="5">
        <v>90516.29</v>
      </c>
      <c r="J41" s="20">
        <v>18</v>
      </c>
      <c r="K41" s="20"/>
      <c r="L41" s="25"/>
      <c r="M41" s="33">
        <f t="shared" si="1"/>
        <v>0</v>
      </c>
    </row>
    <row r="42" spans="2:15" ht="12.75">
      <c r="B42" t="s">
        <v>8</v>
      </c>
      <c r="F42" s="9">
        <f>F41/F40</f>
        <v>0.9601258822021939</v>
      </c>
      <c r="J42" s="20">
        <v>19</v>
      </c>
      <c r="K42" s="20"/>
      <c r="L42" s="25"/>
      <c r="M42" s="33">
        <f t="shared" si="1"/>
        <v>0</v>
      </c>
      <c r="N42" s="26"/>
      <c r="O42" s="51"/>
    </row>
    <row r="43" spans="1:13" ht="12.75">
      <c r="A43" s="7" t="s">
        <v>132</v>
      </c>
      <c r="B43" s="7"/>
      <c r="C43" s="7"/>
      <c r="D43" s="7"/>
      <c r="E43" s="7"/>
      <c r="F43" s="5">
        <f>400+300</f>
        <v>700</v>
      </c>
      <c r="J43" s="20">
        <v>20</v>
      </c>
      <c r="K43" s="20"/>
      <c r="L43" s="25"/>
      <c r="M43" s="33">
        <f t="shared" si="1"/>
        <v>0</v>
      </c>
    </row>
    <row r="44" spans="1:13" ht="12.75">
      <c r="A44" s="3" t="s">
        <v>9</v>
      </c>
      <c r="B44" s="3"/>
      <c r="C44" s="3"/>
      <c r="D44" s="3"/>
      <c r="E44" s="1"/>
      <c r="F44" s="32">
        <f>F41+F43</f>
        <v>91216.29</v>
      </c>
      <c r="J44" s="20">
        <v>21</v>
      </c>
      <c r="K44" s="20"/>
      <c r="L44" s="25"/>
      <c r="M44" s="33">
        <f t="shared" si="1"/>
        <v>0</v>
      </c>
    </row>
    <row r="45" spans="10:13" ht="12.75">
      <c r="J45" s="20">
        <v>22</v>
      </c>
      <c r="K45" s="20"/>
      <c r="L45" s="25"/>
      <c r="M45" s="33">
        <f t="shared" si="1"/>
        <v>0</v>
      </c>
    </row>
    <row r="46" spans="2:13" ht="12.75">
      <c r="B46" s="1" t="s">
        <v>10</v>
      </c>
      <c r="C46" s="1"/>
      <c r="J46" s="20">
        <v>23</v>
      </c>
      <c r="K46" s="20"/>
      <c r="L46" s="25"/>
      <c r="M46" s="33">
        <f t="shared" si="1"/>
        <v>0</v>
      </c>
    </row>
    <row r="47" spans="10:13" ht="12.75">
      <c r="J47" s="20">
        <v>24</v>
      </c>
      <c r="K47" s="20"/>
      <c r="L47" s="25"/>
      <c r="M47" s="33">
        <f t="shared" si="1"/>
        <v>0</v>
      </c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30" t="s">
        <v>57</v>
      </c>
      <c r="L48" s="28">
        <f>SUM(L24:L47)</f>
        <v>36.701</v>
      </c>
      <c r="M48" s="34">
        <f>SUM(M24:M47)</f>
        <v>154333.88382143396</v>
      </c>
    </row>
    <row r="49" spans="1:11" ht="12.75">
      <c r="A49" t="s">
        <v>12</v>
      </c>
      <c r="F49" s="11">
        <f>(4150+4150)*1.302</f>
        <v>10806.6</v>
      </c>
      <c r="K49" s="1" t="s">
        <v>61</v>
      </c>
    </row>
    <row r="50" spans="1:13" ht="12.75">
      <c r="A50" s="6" t="s">
        <v>15</v>
      </c>
      <c r="F50" s="11">
        <f>(1950+1950)*1.302</f>
        <v>5077.8</v>
      </c>
      <c r="J50" s="22" t="s">
        <v>35</v>
      </c>
      <c r="K50" s="22"/>
      <c r="L50" s="22" t="s">
        <v>62</v>
      </c>
      <c r="M50" s="22" t="s">
        <v>41</v>
      </c>
    </row>
    <row r="51" spans="1:13" ht="12.75">
      <c r="A51" s="58" t="s">
        <v>84</v>
      </c>
      <c r="B51" s="50"/>
      <c r="C51" s="50"/>
      <c r="D51" s="50"/>
      <c r="E51" s="59">
        <v>1.11</v>
      </c>
      <c r="F51" s="57">
        <f>E51*E33</f>
        <v>3312.1290000000004</v>
      </c>
      <c r="J51" s="23" t="s">
        <v>36</v>
      </c>
      <c r="K51" s="23" t="s">
        <v>37</v>
      </c>
      <c r="L51" s="23"/>
      <c r="M51" s="23" t="s">
        <v>63</v>
      </c>
    </row>
    <row r="52" spans="1:13" ht="12.75">
      <c r="A52" s="4" t="s">
        <v>33</v>
      </c>
      <c r="F52" s="32">
        <f>F49+F50+F51</f>
        <v>19196.529000000002</v>
      </c>
      <c r="J52" s="20">
        <v>1</v>
      </c>
      <c r="K52" s="20" t="s">
        <v>137</v>
      </c>
      <c r="L52" s="25"/>
      <c r="M52" s="25">
        <v>10812</v>
      </c>
    </row>
    <row r="53" spans="1:13" ht="12.75">
      <c r="A53" s="4" t="s">
        <v>16</v>
      </c>
      <c r="J53" s="20">
        <v>2</v>
      </c>
      <c r="K53" s="20" t="s">
        <v>141</v>
      </c>
      <c r="L53" s="47"/>
      <c r="M53" s="25">
        <v>8395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3</v>
      </c>
      <c r="K54" s="20" t="s">
        <v>143</v>
      </c>
      <c r="L54" s="25" t="s">
        <v>144</v>
      </c>
      <c r="M54" s="25">
        <f>3*495</f>
        <v>1485</v>
      </c>
    </row>
    <row r="55" spans="1:13" ht="12.75">
      <c r="A55" s="45" t="s">
        <v>79</v>
      </c>
      <c r="B55" s="45"/>
      <c r="C55" s="45"/>
      <c r="D55" s="46">
        <v>0</v>
      </c>
      <c r="E55" s="45"/>
      <c r="F55" s="49">
        <v>0</v>
      </c>
      <c r="J55" s="20">
        <v>4</v>
      </c>
      <c r="K55" s="20" t="s">
        <v>147</v>
      </c>
      <c r="L55" s="25" t="s">
        <v>148</v>
      </c>
      <c r="M55" s="25">
        <f>2*490.42</f>
        <v>980.84</v>
      </c>
    </row>
    <row r="56" spans="1:13" ht="12.75">
      <c r="A56" t="s">
        <v>78</v>
      </c>
      <c r="B56">
        <v>999.2</v>
      </c>
      <c r="C56" t="s">
        <v>13</v>
      </c>
      <c r="D56" s="5">
        <v>0.6</v>
      </c>
      <c r="E56" t="s">
        <v>14</v>
      </c>
      <c r="F56" s="11">
        <f>B56*D56</f>
        <v>599.52</v>
      </c>
      <c r="J56" s="20">
        <v>5</v>
      </c>
      <c r="K56" s="20" t="s">
        <v>151</v>
      </c>
      <c r="L56" s="25" t="s">
        <v>152</v>
      </c>
      <c r="M56" s="25">
        <f>6*224.57</f>
        <v>1347.42</v>
      </c>
    </row>
    <row r="57" spans="1:13" ht="12.75">
      <c r="A57" s="4" t="s">
        <v>17</v>
      </c>
      <c r="B57" s="10"/>
      <c r="C57" s="10"/>
      <c r="F57" s="32">
        <f>SUM(F54:F56)</f>
        <v>599.52</v>
      </c>
      <c r="J57" s="20">
        <v>6</v>
      </c>
      <c r="K57" s="20" t="s">
        <v>153</v>
      </c>
      <c r="L57" s="25" t="s">
        <v>154</v>
      </c>
      <c r="M57" s="25">
        <f>4*80.09</f>
        <v>320.36</v>
      </c>
    </row>
    <row r="58" spans="1:13" ht="12.75">
      <c r="A58" s="4" t="s">
        <v>18</v>
      </c>
      <c r="B58" s="4"/>
      <c r="J58" s="20">
        <v>7</v>
      </c>
      <c r="K58" s="20" t="s">
        <v>155</v>
      </c>
      <c r="L58" s="25" t="s">
        <v>148</v>
      </c>
      <c r="M58" s="25">
        <f>2*10.3</f>
        <v>20.6</v>
      </c>
    </row>
    <row r="59" spans="1:13" ht="12.75">
      <c r="A59" t="s">
        <v>19</v>
      </c>
      <c r="C59" s="50">
        <v>1958853</v>
      </c>
      <c r="D59">
        <v>222433.7</v>
      </c>
      <c r="E59">
        <v>2983.9</v>
      </c>
      <c r="F59" s="35">
        <f>C59/D59*E59</f>
        <v>26277.589532071805</v>
      </c>
      <c r="J59" s="20">
        <v>8</v>
      </c>
      <c r="K59" s="20" t="s">
        <v>156</v>
      </c>
      <c r="L59" s="25" t="s">
        <v>148</v>
      </c>
      <c r="M59" s="25">
        <f>2*12.5</f>
        <v>25</v>
      </c>
    </row>
    <row r="60" spans="1:13" ht="12.75">
      <c r="A60" t="s">
        <v>20</v>
      </c>
      <c r="F60" s="35">
        <f>M20</f>
        <v>18297.654656400002</v>
      </c>
      <c r="J60" s="20">
        <v>9</v>
      </c>
      <c r="K60" s="20" t="s">
        <v>157</v>
      </c>
      <c r="L60" s="25" t="s">
        <v>148</v>
      </c>
      <c r="M60" s="25">
        <f>2*7.9</f>
        <v>15.8</v>
      </c>
    </row>
    <row r="61" spans="1:13" ht="12.75">
      <c r="A61" t="s">
        <v>21</v>
      </c>
      <c r="F61" s="11">
        <f>M48</f>
        <v>154333.88382143396</v>
      </c>
      <c r="J61" s="20">
        <v>10</v>
      </c>
      <c r="K61" s="20" t="s">
        <v>158</v>
      </c>
      <c r="L61" s="25" t="s">
        <v>159</v>
      </c>
      <c r="M61" s="25">
        <v>102.23</v>
      </c>
    </row>
    <row r="62" spans="1:13" ht="12.75">
      <c r="A62" t="s">
        <v>72</v>
      </c>
      <c r="F62" s="5">
        <f>1*600*1.302</f>
        <v>781.2</v>
      </c>
      <c r="J62" s="20">
        <v>11</v>
      </c>
      <c r="K62" s="20" t="s">
        <v>160</v>
      </c>
      <c r="L62" s="25" t="s">
        <v>161</v>
      </c>
      <c r="M62" s="25">
        <f>4*143.34</f>
        <v>573.36</v>
      </c>
    </row>
    <row r="63" spans="1:13" ht="12.75">
      <c r="A63" t="s">
        <v>22</v>
      </c>
      <c r="F63" s="5">
        <f>M93</f>
        <v>45892.15</v>
      </c>
      <c r="J63" s="20">
        <v>12</v>
      </c>
      <c r="K63" s="20" t="s">
        <v>162</v>
      </c>
      <c r="L63" s="25" t="s">
        <v>163</v>
      </c>
      <c r="M63" s="25">
        <f>8*12.47</f>
        <v>99.76</v>
      </c>
    </row>
    <row r="64" spans="1:13" ht="12.75">
      <c r="A64" t="s">
        <v>23</v>
      </c>
      <c r="F64" s="5"/>
      <c r="J64" s="20">
        <v>13</v>
      </c>
      <c r="K64" s="20" t="s">
        <v>166</v>
      </c>
      <c r="L64" s="25" t="s">
        <v>167</v>
      </c>
      <c r="M64" s="25">
        <v>20</v>
      </c>
    </row>
    <row r="65" spans="1:13" ht="12.75">
      <c r="A65" t="s">
        <v>24</v>
      </c>
      <c r="F65" s="5"/>
      <c r="J65" s="20">
        <v>14</v>
      </c>
      <c r="K65" s="20" t="s">
        <v>168</v>
      </c>
      <c r="L65" s="25" t="s">
        <v>148</v>
      </c>
      <c r="M65" s="25">
        <f>2*636</f>
        <v>1272</v>
      </c>
    </row>
    <row r="66" spans="2:13" ht="12.75">
      <c r="B66">
        <v>2983.9</v>
      </c>
      <c r="C66" t="s">
        <v>13</v>
      </c>
      <c r="D66" s="11">
        <v>0.94</v>
      </c>
      <c r="E66" t="s">
        <v>14</v>
      </c>
      <c r="F66" s="11">
        <f>B66*D66</f>
        <v>2804.866</v>
      </c>
      <c r="J66" s="20">
        <v>15</v>
      </c>
      <c r="K66" s="20" t="s">
        <v>151</v>
      </c>
      <c r="L66" s="25" t="s">
        <v>167</v>
      </c>
      <c r="M66" s="25">
        <v>224.57</v>
      </c>
    </row>
    <row r="67" spans="1:13" ht="12.75">
      <c r="A67" s="50" t="s">
        <v>83</v>
      </c>
      <c r="B67" s="50"/>
      <c r="C67" s="50"/>
      <c r="D67" s="57"/>
      <c r="E67" s="50"/>
      <c r="F67" s="57">
        <v>0</v>
      </c>
      <c r="J67" s="20">
        <v>16</v>
      </c>
      <c r="K67" s="20" t="s">
        <v>169</v>
      </c>
      <c r="L67" s="25" t="s">
        <v>167</v>
      </c>
      <c r="M67" s="25">
        <v>1268.5</v>
      </c>
    </row>
    <row r="68" spans="1:13" ht="12.75">
      <c r="A68" s="50" t="s">
        <v>85</v>
      </c>
      <c r="B68" s="50"/>
      <c r="C68" s="50"/>
      <c r="D68" s="57">
        <v>0.8</v>
      </c>
      <c r="E68" s="50"/>
      <c r="F68" s="57">
        <f>D68*E33</f>
        <v>2387.1200000000003</v>
      </c>
      <c r="J68" s="20">
        <v>17</v>
      </c>
      <c r="K68" s="20" t="s">
        <v>170</v>
      </c>
      <c r="L68" s="25" t="s">
        <v>171</v>
      </c>
      <c r="M68" s="25">
        <f>200*17.33</f>
        <v>3465.9999999999995</v>
      </c>
    </row>
    <row r="69" spans="1:13" ht="12.75">
      <c r="A69" s="4" t="s">
        <v>25</v>
      </c>
      <c r="B69" s="10"/>
      <c r="C69" s="10"/>
      <c r="F69" s="32">
        <f>SUM(F59:F68)</f>
        <v>250774.4640099058</v>
      </c>
      <c r="J69" s="20">
        <v>18</v>
      </c>
      <c r="K69" s="20" t="s">
        <v>172</v>
      </c>
      <c r="L69" s="25" t="s">
        <v>173</v>
      </c>
      <c r="M69" s="25">
        <f>25*5.59</f>
        <v>139.75</v>
      </c>
    </row>
    <row r="70" spans="1:13" ht="12.75">
      <c r="A70" s="4" t="s">
        <v>26</v>
      </c>
      <c r="J70" s="20">
        <v>19</v>
      </c>
      <c r="K70" s="20" t="s">
        <v>175</v>
      </c>
      <c r="L70" s="25" t="s">
        <v>148</v>
      </c>
      <c r="M70" s="25">
        <f>2*500</f>
        <v>1000</v>
      </c>
    </row>
    <row r="71" spans="1:13" ht="12.75">
      <c r="A71" t="s">
        <v>27</v>
      </c>
      <c r="B71">
        <v>2983.9</v>
      </c>
      <c r="C71" t="s">
        <v>65</v>
      </c>
      <c r="D71" s="5">
        <v>0.49</v>
      </c>
      <c r="E71" t="s">
        <v>14</v>
      </c>
      <c r="F71" s="11">
        <f>B71*D71</f>
        <v>1462.111</v>
      </c>
      <c r="J71" s="20">
        <v>20</v>
      </c>
      <c r="K71" s="20" t="s">
        <v>176</v>
      </c>
      <c r="L71" s="25" t="s">
        <v>177</v>
      </c>
      <c r="M71" s="25">
        <f>50*0.55</f>
        <v>27.500000000000004</v>
      </c>
    </row>
    <row r="72" spans="1:13" ht="12.75">
      <c r="A72" t="s">
        <v>28</v>
      </c>
      <c r="F72" s="5"/>
      <c r="J72" s="20">
        <v>21</v>
      </c>
      <c r="K72" s="20" t="s">
        <v>179</v>
      </c>
      <c r="L72" s="25" t="s">
        <v>167</v>
      </c>
      <c r="M72" s="25">
        <v>30</v>
      </c>
    </row>
    <row r="73" spans="1:13" ht="12.75">
      <c r="A73" s="7" t="s">
        <v>71</v>
      </c>
      <c r="F73" s="5"/>
      <c r="J73" s="20">
        <v>22</v>
      </c>
      <c r="K73" s="20" t="s">
        <v>180</v>
      </c>
      <c r="L73" s="25" t="s">
        <v>167</v>
      </c>
      <c r="M73" s="25">
        <v>26</v>
      </c>
    </row>
    <row r="74" spans="2:13" ht="12.75">
      <c r="B74">
        <v>2983.9</v>
      </c>
      <c r="C74" t="s">
        <v>13</v>
      </c>
      <c r="D74" s="11">
        <v>2.56</v>
      </c>
      <c r="E74" t="s">
        <v>14</v>
      </c>
      <c r="F74" s="11">
        <f>B74*D74</f>
        <v>7638.784000000001</v>
      </c>
      <c r="J74" s="20">
        <v>23</v>
      </c>
      <c r="K74" s="20" t="s">
        <v>181</v>
      </c>
      <c r="L74" s="25" t="s">
        <v>167</v>
      </c>
      <c r="M74" s="25">
        <v>9</v>
      </c>
    </row>
    <row r="75" spans="1:13" ht="12.75">
      <c r="A75" s="4" t="s">
        <v>29</v>
      </c>
      <c r="F75" s="32">
        <f>F71+F74</f>
        <v>9100.895</v>
      </c>
      <c r="J75" s="20">
        <v>24</v>
      </c>
      <c r="K75" s="20" t="s">
        <v>168</v>
      </c>
      <c r="L75" s="25" t="s">
        <v>167</v>
      </c>
      <c r="M75" s="25">
        <v>636</v>
      </c>
    </row>
    <row r="76" spans="1:13" ht="12.75">
      <c r="A76" s="4" t="s">
        <v>30</v>
      </c>
      <c r="J76" s="20">
        <v>25</v>
      </c>
      <c r="K76" s="20" t="s">
        <v>166</v>
      </c>
      <c r="L76" s="25" t="s">
        <v>167</v>
      </c>
      <c r="M76" s="25">
        <v>20</v>
      </c>
    </row>
    <row r="77" spans="1:13" ht="12.75">
      <c r="A77" s="7" t="s">
        <v>73</v>
      </c>
      <c r="B77" s="7"/>
      <c r="C77" s="7"/>
      <c r="D77" s="7"/>
      <c r="E77" s="7"/>
      <c r="F77" s="7"/>
      <c r="J77" s="20">
        <v>26</v>
      </c>
      <c r="K77" s="20" t="s">
        <v>183</v>
      </c>
      <c r="L77" s="25" t="s">
        <v>184</v>
      </c>
      <c r="M77" s="25">
        <f>9*150</f>
        <v>1350</v>
      </c>
    </row>
    <row r="78" spans="2:13" ht="12.75">
      <c r="B78">
        <v>2983.9</v>
      </c>
      <c r="C78" t="s">
        <v>13</v>
      </c>
      <c r="D78" s="11">
        <v>6.31</v>
      </c>
      <c r="E78" t="s">
        <v>14</v>
      </c>
      <c r="F78" s="11">
        <f>B78*D78</f>
        <v>18828.409</v>
      </c>
      <c r="J78" s="20">
        <v>27</v>
      </c>
      <c r="K78" s="20" t="s">
        <v>185</v>
      </c>
      <c r="L78" s="25" t="s">
        <v>163</v>
      </c>
      <c r="M78" s="25">
        <f>8*841.67</f>
        <v>6733.36</v>
      </c>
    </row>
    <row r="79" spans="1:13" ht="12.75">
      <c r="A79" s="4" t="s">
        <v>31</v>
      </c>
      <c r="F79" s="32">
        <f>SUM(F78)</f>
        <v>18828.409</v>
      </c>
      <c r="J79" s="20">
        <v>28</v>
      </c>
      <c r="K79" s="20" t="s">
        <v>176</v>
      </c>
      <c r="L79" s="25" t="s">
        <v>186</v>
      </c>
      <c r="M79" s="25">
        <f>300*0.76</f>
        <v>228</v>
      </c>
    </row>
    <row r="80" spans="1:13" ht="12.75">
      <c r="A80" s="60" t="s">
        <v>77</v>
      </c>
      <c r="B80" s="50"/>
      <c r="C80" s="50"/>
      <c r="D80" s="59">
        <v>2.26</v>
      </c>
      <c r="E80" s="50"/>
      <c r="F80" s="61">
        <f>D80*E33</f>
        <v>6743.614</v>
      </c>
      <c r="J80" s="20">
        <v>29</v>
      </c>
      <c r="K80" s="20" t="s">
        <v>187</v>
      </c>
      <c r="L80" s="25" t="s">
        <v>188</v>
      </c>
      <c r="M80" s="25">
        <f>15*350.94</f>
        <v>5264.1</v>
      </c>
    </row>
    <row r="81" spans="1:13" ht="12.75">
      <c r="A81" s="1" t="s">
        <v>32</v>
      </c>
      <c r="B81" s="1"/>
      <c r="F81" s="32">
        <f>F52+F57+F69+F75+F79+F80</f>
        <v>305243.4310099058</v>
      </c>
      <c r="J81" s="20">
        <v>30</v>
      </c>
      <c r="K81" s="20"/>
      <c r="L81" s="25"/>
      <c r="M81" s="25"/>
    </row>
    <row r="82" spans="1:13" ht="12.75">
      <c r="A82" s="1" t="s">
        <v>75</v>
      </c>
      <c r="B82" s="36"/>
      <c r="C82" s="36">
        <v>0.058</v>
      </c>
      <c r="D82" s="1"/>
      <c r="E82" s="1"/>
      <c r="F82" s="32">
        <f>F81*5.8%</f>
        <v>17704.118998574537</v>
      </c>
      <c r="I82" s="7"/>
      <c r="J82" s="20">
        <v>31</v>
      </c>
      <c r="K82" s="20"/>
      <c r="L82" s="25"/>
      <c r="M82" s="25"/>
    </row>
    <row r="83" spans="1:13" ht="12.75">
      <c r="A83" s="1"/>
      <c r="B83" s="36" t="s">
        <v>128</v>
      </c>
      <c r="C83" s="36"/>
      <c r="D83" s="1"/>
      <c r="E83" s="55"/>
      <c r="F83" s="56">
        <f>7391.4+6390.36</f>
        <v>13781.759999999998</v>
      </c>
      <c r="I83" s="7"/>
      <c r="J83" s="20">
        <v>32</v>
      </c>
      <c r="K83" s="20"/>
      <c r="L83" s="25"/>
      <c r="M83" s="25"/>
    </row>
    <row r="84" spans="1:13" ht="12.75">
      <c r="A84" s="1"/>
      <c r="B84" s="36" t="s">
        <v>129</v>
      </c>
      <c r="C84" s="36"/>
      <c r="D84" s="1"/>
      <c r="E84" s="55"/>
      <c r="F84" s="56">
        <f>2*238.66</f>
        <v>477.32</v>
      </c>
      <c r="I84" s="7"/>
      <c r="J84" s="20">
        <v>33</v>
      </c>
      <c r="K84" s="20"/>
      <c r="L84" s="25"/>
      <c r="M84" s="25"/>
    </row>
    <row r="85" spans="1:13" ht="12.75">
      <c r="A85" s="1"/>
      <c r="B85" s="36" t="s">
        <v>130</v>
      </c>
      <c r="C85" s="36"/>
      <c r="D85" s="1"/>
      <c r="E85" s="55"/>
      <c r="F85" s="56">
        <v>0</v>
      </c>
      <c r="I85" s="7"/>
      <c r="J85" s="20">
        <v>34</v>
      </c>
      <c r="K85" s="20"/>
      <c r="L85" s="25"/>
      <c r="M85" s="25"/>
    </row>
    <row r="86" spans="1:13" ht="15">
      <c r="A86" s="12" t="s">
        <v>34</v>
      </c>
      <c r="B86" s="12"/>
      <c r="C86" s="12"/>
      <c r="D86" s="12"/>
      <c r="E86" s="12"/>
      <c r="F86" s="42">
        <f>F81+F82+F83+F84+F85</f>
        <v>337206.6300084804</v>
      </c>
      <c r="J86" s="20">
        <v>35</v>
      </c>
      <c r="K86" s="20"/>
      <c r="L86" s="25"/>
      <c r="M86" s="25"/>
    </row>
    <row r="87" spans="2:13" ht="12.75">
      <c r="B87" s="37" t="s">
        <v>67</v>
      </c>
      <c r="C87" s="38" t="s">
        <v>68</v>
      </c>
      <c r="D87" s="22" t="s">
        <v>69</v>
      </c>
      <c r="E87" s="22" t="s">
        <v>70</v>
      </c>
      <c r="F87" s="41" t="s">
        <v>136</v>
      </c>
      <c r="J87" s="20">
        <v>36</v>
      </c>
      <c r="K87" s="20"/>
      <c r="L87" s="25"/>
      <c r="M87" s="25"/>
    </row>
    <row r="88" spans="1:13" ht="12.75">
      <c r="A88" s="13"/>
      <c r="B88" s="39">
        <v>45597</v>
      </c>
      <c r="C88" s="40">
        <v>-941422</v>
      </c>
      <c r="D88" s="43">
        <f>F44</f>
        <v>91216.29</v>
      </c>
      <c r="E88" s="43">
        <f>F86</f>
        <v>337206.6300084804</v>
      </c>
      <c r="F88" s="44">
        <f>C88+D88-E88</f>
        <v>-1187412.3400084805</v>
      </c>
      <c r="J88" s="20">
        <v>37</v>
      </c>
      <c r="K88" s="20"/>
      <c r="L88" s="25"/>
      <c r="M88" s="25"/>
    </row>
    <row r="89" spans="10:13" ht="12.75">
      <c r="J89" s="20">
        <v>38</v>
      </c>
      <c r="K89" s="20"/>
      <c r="L89" s="25"/>
      <c r="M89" s="25"/>
    </row>
    <row r="90" spans="1:13" ht="13.5" thickBot="1">
      <c r="A90" t="s">
        <v>112</v>
      </c>
      <c r="C90" s="53" t="s">
        <v>135</v>
      </c>
      <c r="D90" s="8" t="s">
        <v>113</v>
      </c>
      <c r="E90" s="53">
        <v>45291</v>
      </c>
      <c r="F90" t="s">
        <v>114</v>
      </c>
      <c r="J90" s="20">
        <v>39</v>
      </c>
      <c r="K90" s="20"/>
      <c r="L90" s="25"/>
      <c r="M90" s="25"/>
    </row>
    <row r="91" spans="1:13" ht="13.5" thickBot="1">
      <c r="A91" t="s">
        <v>115</v>
      </c>
      <c r="F91" s="54">
        <f>E88</f>
        <v>337206.6300084804</v>
      </c>
      <c r="G91" t="s">
        <v>14</v>
      </c>
      <c r="J91" s="20">
        <v>40</v>
      </c>
      <c r="K91" s="20"/>
      <c r="L91" s="25"/>
      <c r="M91" s="25"/>
    </row>
    <row r="92" spans="1:13" ht="12.75">
      <c r="A92" t="s">
        <v>116</v>
      </c>
      <c r="J92" s="20">
        <v>41</v>
      </c>
      <c r="K92" s="20"/>
      <c r="L92" s="25"/>
      <c r="M92" s="25"/>
    </row>
    <row r="93" spans="1:13" ht="12.75">
      <c r="A93" t="s">
        <v>117</v>
      </c>
      <c r="J93" s="20"/>
      <c r="K93" s="20"/>
      <c r="L93" s="31" t="s">
        <v>64</v>
      </c>
      <c r="M93" s="28">
        <f>SUM(M52:M92)</f>
        <v>45892.15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8" ht="12.75">
      <c r="A98" t="s">
        <v>122</v>
      </c>
    </row>
    <row r="100" ht="12.75">
      <c r="B100" t="s">
        <v>123</v>
      </c>
    </row>
    <row r="102" ht="12.75">
      <c r="A102" t="s">
        <v>124</v>
      </c>
    </row>
    <row r="105" ht="12.75">
      <c r="A105" t="s">
        <v>125</v>
      </c>
    </row>
    <row r="108" ht="12.75">
      <c r="A108" t="s">
        <v>126</v>
      </c>
    </row>
    <row r="109" spans="7:8" ht="12.75">
      <c r="G109" s="7"/>
      <c r="H109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2023-01-12T16:20:43Z</cp:lastPrinted>
  <dcterms:created xsi:type="dcterms:W3CDTF">2008-08-18T07:30:19Z</dcterms:created>
  <dcterms:modified xsi:type="dcterms:W3CDTF">2024-02-22T11:30:58Z</dcterms:modified>
  <cp:category/>
  <cp:version/>
  <cp:contentType/>
  <cp:contentStatus/>
</cp:coreProperties>
</file>