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<sst xmlns="http://schemas.openxmlformats.org/spreadsheetml/2006/main" count="235" uniqueCount="197">
  <si>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</si>
  <si>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</si>
  <si>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</si>
  <si>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</si>
  <si>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</si>
  <si>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</si>
  <si>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</si>
  <si>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</si>
  <si>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</si>
  <si>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</si>
  <si>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</si>
  <si>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</si>
  <si>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</si>
  <si>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</si>
  <si>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</si>
  <si>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</si>
  <si>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</si>
  <si>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</si>
  <si>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</si>
  <si>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</si>
  <si>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</si>
  <si>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</si>
  <si>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</si>
  <si>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</si>
  <si>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</si>
  <si>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</si>
  <si>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</si>
  <si>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</si>
  <si>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</si>
  <si>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</si>
  <si>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</si>
  <si>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</si>
  <si>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</si>
  <si>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</si>
  <si>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</si>
  <si>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</si>
  <si>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</si>
  <si>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</si>
  <si>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</si>
  <si>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</si>
  <si>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</si>
  <si>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</si>
  <si>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</si>
  <si>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</si>
  <si>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</si>
  <si>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</si>
  <si>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</si>
  <si>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</si>
  <si>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</si>
  <si>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</si>
  <si>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</si>
  <si>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</si>
  <si>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</si>
  <si>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</si>
  <si>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</si>
  <si>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</si>
  <si>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</si>
  <si>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</si>
  <si>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</si>
  <si>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</si>
  <si>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</si>
  <si>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</si>
  <si>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</si>
  <si>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</si>
  <si>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</si>
  <si>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</si>
  <si>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</si>
  <si>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</si>
  <si>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</si>
  <si>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</si>
  <si>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</si>
  <si>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</si>
  <si>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</si>
  <si>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</si>
  <si>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</si>
  <si>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</si>
  <si>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</si>
  <si>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</si>
  <si>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</si>
  <si>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</si>
  <si>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</si>
  <si>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</si>
  <si>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</si>
  <si>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</si>
  <si>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</si>
  <si>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</si>
  <si>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</si>
  <si>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</si>
  <si>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</si>
  <si>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</si>
  <si>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</si>
  <si>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</si>
  <si>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</si>
  <si>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</si>
  <si>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</si>
  <si>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</si>
  <si>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</si>
  <si>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</si>
  <si>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</si>
  <si>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</si>
  <si>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</si>
  <si>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</si>
  <si>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</si>
  <si>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</si>
  <si>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</si>
  <si>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</si>
  <si>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</si>
  <si>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</si>
  <si>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</si>
  <si>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</si>
  <si>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</si>
  <si>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</si>
  <si>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</si>
  <si>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</si>
  <si>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</si>
  <si>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</si>
  <si>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</si>
  <si>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</si>
  <si>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</si>
  <si>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</si>
  <si>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</si>
  <si>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</si>
  <si>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</si>
  <si>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</si>
  <si>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</si>
  <si>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</si>
  <si>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</si>
  <si>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</si>
  <si>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</si>
  <si>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</si>
  <si>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</si>
  <si>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</si>
  <si>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</si>
  <si>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</si>
  <si>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</si>
  <si>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</si>
  <si>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2022 г.</t>
  </si>
  <si>
    <t>сентября</t>
  </si>
  <si>
    <t>ост.на 01.10</t>
  </si>
  <si>
    <t>за   сентябрь  2022 г.</t>
  </si>
  <si>
    <t>смена труб д 57 (30мп) т.п.</t>
  </si>
  <si>
    <t>смена вентиля 25 (2шт) т.п.</t>
  </si>
  <si>
    <t>смена вентиля 20 (4шт) т.п.</t>
  </si>
  <si>
    <t>смена вентиля 15 (2шт) т.п.</t>
  </si>
  <si>
    <t>устр-во заглушки  (10шт)</t>
  </si>
  <si>
    <t xml:space="preserve">смена труб д 40 п.пр (8мп) </t>
  </si>
  <si>
    <t xml:space="preserve">смена труб д 32 п.пр (28мп) </t>
  </si>
  <si>
    <t xml:space="preserve">смена труб д 25 п.пр (12мп) </t>
  </si>
  <si>
    <t xml:space="preserve">смена труб д 20 п.пр (6мп) </t>
  </si>
  <si>
    <t>смена сгона д 40 (12шт) т.п.</t>
  </si>
  <si>
    <t>смена сгона д 25 (4шт) т.п.</t>
  </si>
  <si>
    <t>электроды</t>
  </si>
  <si>
    <t>5кг</t>
  </si>
  <si>
    <t>труба 57</t>
  </si>
  <si>
    <t>30мп</t>
  </si>
  <si>
    <t>отвод 57</t>
  </si>
  <si>
    <t>8шт</t>
  </si>
  <si>
    <t>муфта комб. 25</t>
  </si>
  <si>
    <t>3шт</t>
  </si>
  <si>
    <t>муфта комб. 20</t>
  </si>
  <si>
    <t>6шт</t>
  </si>
  <si>
    <t>муфта комб. 32</t>
  </si>
  <si>
    <t>2шт</t>
  </si>
  <si>
    <t>вентиль д 25</t>
  </si>
  <si>
    <t>вентиль д 20</t>
  </si>
  <si>
    <t>4шт</t>
  </si>
  <si>
    <t>вентиль д 15</t>
  </si>
  <si>
    <t>американка 32</t>
  </si>
  <si>
    <t>уголок 32</t>
  </si>
  <si>
    <t>14шт</t>
  </si>
  <si>
    <t>муфта паячная 32</t>
  </si>
  <si>
    <t>муфта паячная 40</t>
  </si>
  <si>
    <t>заглушка 15</t>
  </si>
  <si>
    <t>10шт</t>
  </si>
  <si>
    <t>тройник 32</t>
  </si>
  <si>
    <t>муфта комб. 40</t>
  </si>
  <si>
    <t>американка 40</t>
  </si>
  <si>
    <t>тройник 40</t>
  </si>
  <si>
    <t>переход 40</t>
  </si>
  <si>
    <t>переход 25</t>
  </si>
  <si>
    <t>переход 32</t>
  </si>
  <si>
    <t>уголок 25</t>
  </si>
  <si>
    <t>30шт</t>
  </si>
  <si>
    <t>труба 40 п.пр.</t>
  </si>
  <si>
    <t>8мп</t>
  </si>
  <si>
    <t>труба 32 п.пр.</t>
  </si>
  <si>
    <t>28мп</t>
  </si>
  <si>
    <t>труба 25 п.пр.</t>
  </si>
  <si>
    <t>12мп</t>
  </si>
  <si>
    <t>труба 20 п.пр.</t>
  </si>
  <si>
    <t>6мп</t>
  </si>
  <si>
    <t>сгон 40</t>
  </si>
  <si>
    <t>12шт</t>
  </si>
  <si>
    <t>сгон 25</t>
  </si>
  <si>
    <t>бочонок 15</t>
  </si>
  <si>
    <t>смена ламп (10шт)</t>
  </si>
  <si>
    <t>лампа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</si>
</sst>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37">
      <selection activeCell="M78" sqref="M78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9</v>
      </c>
      <c r="K1" t="s">
        <v>61</v>
      </c>
    </row>
    <row r="2" spans="1:11" ht="12.75">
      <c r="A2" t="s">
        <v>89</v>
      </c>
      <c r="K2" s="5" t="s">
        <v>139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7.34</v>
      </c>
      <c r="M20" s="33">
        <f>SUM(M6:M19)</f>
        <v>1530.7316623200002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f>0.3*134.9</f>
        <v>40.47</v>
      </c>
      <c r="M24" s="32">
        <f aca="true" t="shared" si="1" ref="M24:M43">L24*160.174*1.302*1.15</f>
        <v>9705.860617194001</v>
      </c>
    </row>
    <row r="25" spans="1:13" ht="12.75">
      <c r="A25" t="s">
        <v>110</v>
      </c>
      <c r="J25" s="20">
        <v>2</v>
      </c>
      <c r="K25" s="20" t="s">
        <v>141</v>
      </c>
      <c r="L25" s="45">
        <f>0.02*103</f>
        <v>2.06</v>
      </c>
      <c r="M25" s="32">
        <f t="shared" si="1"/>
        <v>494.04677221199995</v>
      </c>
    </row>
    <row r="26" spans="1:13" ht="12.75">
      <c r="A26" t="s">
        <v>111</v>
      </c>
      <c r="J26" s="20">
        <v>3</v>
      </c>
      <c r="K26" s="20" t="s">
        <v>142</v>
      </c>
      <c r="L26" s="45">
        <f>0.04*81</f>
        <v>3.24</v>
      </c>
      <c r="M26" s="32">
        <f t="shared" si="1"/>
        <v>777.044437848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143</v>
      </c>
      <c r="L27" s="45">
        <f>2*0.81</f>
        <v>1.62</v>
      </c>
      <c r="M27" s="32">
        <f t="shared" si="1"/>
        <v>388.522218924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144</v>
      </c>
      <c r="L28" s="45">
        <f>1.12*10</f>
        <v>11.200000000000001</v>
      </c>
      <c r="M28" s="32">
        <f t="shared" si="1"/>
        <v>2686.07953824</v>
      </c>
    </row>
    <row r="29" spans="10:13" ht="12.75">
      <c r="J29" s="20">
        <v>6</v>
      </c>
      <c r="K29" s="20" t="s">
        <v>145</v>
      </c>
      <c r="L29" s="45">
        <f>0.08*156.46</f>
        <v>12.516800000000002</v>
      </c>
      <c r="M29" s="32">
        <f t="shared" si="1"/>
        <v>3001.8857468073606</v>
      </c>
    </row>
    <row r="30" spans="2:13" ht="12.75">
      <c r="B30" t="s">
        <v>0</v>
      </c>
      <c r="J30" s="20">
        <v>7</v>
      </c>
      <c r="K30" s="20" t="s">
        <v>146</v>
      </c>
      <c r="L30" s="45">
        <f>0.28*156.46</f>
        <v>43.808800000000005</v>
      </c>
      <c r="M30" s="32">
        <f t="shared" si="1"/>
        <v>10506.600113825762</v>
      </c>
    </row>
    <row r="31" spans="10:13" ht="12.75">
      <c r="J31" s="20">
        <v>8</v>
      </c>
      <c r="K31" s="20" t="s">
        <v>147</v>
      </c>
      <c r="L31" s="45">
        <f>0.12*184.3</f>
        <v>22.116</v>
      </c>
      <c r="M31" s="32">
        <f t="shared" si="1"/>
        <v>5304.047773903199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 t="s">
        <v>148</v>
      </c>
      <c r="L32" s="45">
        <f>0.06*224.9</f>
        <v>13.494</v>
      </c>
      <c r="M32" s="32">
        <f t="shared" si="1"/>
        <v>3236.2461865187997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 t="s">
        <v>149</v>
      </c>
      <c r="L33" s="45">
        <f>0.12*41.6</f>
        <v>4.992</v>
      </c>
      <c r="M33" s="32">
        <f t="shared" si="1"/>
        <v>1197.2240227584</v>
      </c>
    </row>
    <row r="34" spans="1:13" ht="12.75">
      <c r="A34" t="s">
        <v>3</v>
      </c>
      <c r="J34" s="20">
        <v>11</v>
      </c>
      <c r="K34" s="20" t="s">
        <v>150</v>
      </c>
      <c r="L34" s="45">
        <f>0.04*41.6</f>
        <v>1.6640000000000001</v>
      </c>
      <c r="M34" s="32">
        <f t="shared" si="1"/>
        <v>399.07467425280004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 t="s">
        <v>195</v>
      </c>
      <c r="L35" s="45">
        <v>7.1</v>
      </c>
      <c r="M35" s="32">
        <f t="shared" si="1"/>
        <v>1702.78256442</v>
      </c>
    </row>
    <row r="36" spans="10:13" ht="12.75">
      <c r="J36" s="20">
        <v>13</v>
      </c>
      <c r="K36" s="20"/>
      <c r="L36" s="4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45"/>
      <c r="M38" s="32">
        <f t="shared" si="1"/>
        <v>0</v>
      </c>
    </row>
    <row r="39" spans="1:13" ht="12.75">
      <c r="A39" s="2" t="s">
        <v>6</v>
      </c>
      <c r="F39" s="11">
        <v>126286.9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130450.6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1.032970165551613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132155.6</v>
      </c>
      <c r="J43" s="20">
        <v>20</v>
      </c>
      <c r="K43" s="20"/>
      <c r="L43" s="25"/>
      <c r="M43" s="32">
        <f t="shared" si="1"/>
        <v>0</v>
      </c>
    </row>
    <row r="44" spans="10:13" ht="12.75">
      <c r="J44" s="20"/>
      <c r="K44" s="29" t="s">
        <v>52</v>
      </c>
      <c r="L44" s="28">
        <f>SUM(L24:L42)</f>
        <v>164.2816</v>
      </c>
      <c r="M44" s="33">
        <f>SUM(M24:M43)</f>
        <v>39399.41466690432</v>
      </c>
    </row>
    <row r="45" spans="2:11" ht="12.75">
      <c r="B45" s="1" t="s">
        <v>10</v>
      </c>
      <c r="C45" s="1"/>
      <c r="K45" s="1" t="s">
        <v>56</v>
      </c>
    </row>
    <row r="46" spans="10:13" ht="12.75">
      <c r="J46" s="22" t="s">
        <v>30</v>
      </c>
      <c r="K46" s="22"/>
      <c r="L46" s="22" t="s">
        <v>57</v>
      </c>
      <c r="M46" s="22" t="s">
        <v>36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31</v>
      </c>
      <c r="K47" s="23" t="s">
        <v>32</v>
      </c>
      <c r="L47" s="23"/>
      <c r="M47" s="23" t="s">
        <v>58</v>
      </c>
    </row>
    <row r="48" spans="1:13" ht="12.75">
      <c r="A48" t="s">
        <v>12</v>
      </c>
      <c r="F48" s="11">
        <f>(5077)*1.302</f>
        <v>6610.254</v>
      </c>
      <c r="J48" s="20">
        <v>1</v>
      </c>
      <c r="K48" s="20" t="s">
        <v>151</v>
      </c>
      <c r="L48" s="25" t="s">
        <v>152</v>
      </c>
      <c r="M48" s="45">
        <f>5*439</f>
        <v>2195</v>
      </c>
    </row>
    <row r="49" spans="1:13" ht="12.75">
      <c r="A49" s="6" t="s">
        <v>15</v>
      </c>
      <c r="F49" s="11">
        <f>(5782)*1.302</f>
        <v>7528.164000000001</v>
      </c>
      <c r="J49" s="20">
        <v>2</v>
      </c>
      <c r="K49" s="20" t="s">
        <v>153</v>
      </c>
      <c r="L49" s="25" t="s">
        <v>154</v>
      </c>
      <c r="M49" s="25">
        <f>156.9*59.77</f>
        <v>9377.913</v>
      </c>
    </row>
    <row r="50" spans="1:13" ht="12.75">
      <c r="A50" s="54" t="s">
        <v>86</v>
      </c>
      <c r="B50" s="46"/>
      <c r="C50" s="46"/>
      <c r="D50" s="46"/>
      <c r="E50" s="53">
        <v>0</v>
      </c>
      <c r="F50" s="59">
        <f>E50*E32</f>
        <v>0</v>
      </c>
      <c r="J50" s="20">
        <v>3</v>
      </c>
      <c r="K50" s="20" t="s">
        <v>155</v>
      </c>
      <c r="L50" s="25" t="s">
        <v>156</v>
      </c>
      <c r="M50" s="25">
        <f>8*100</f>
        <v>800</v>
      </c>
    </row>
    <row r="51" spans="1:13" ht="12.75">
      <c r="A51" s="4" t="s">
        <v>28</v>
      </c>
      <c r="F51" s="31">
        <f>F48+F49+F50</f>
        <v>14138.418000000001</v>
      </c>
      <c r="J51" s="20">
        <v>4</v>
      </c>
      <c r="K51" s="20" t="s">
        <v>157</v>
      </c>
      <c r="L51" s="25" t="s">
        <v>158</v>
      </c>
      <c r="M51" s="25">
        <f>3*90.61</f>
        <v>271.83</v>
      </c>
    </row>
    <row r="52" spans="1:13" ht="12.75">
      <c r="A52" s="4" t="s">
        <v>16</v>
      </c>
      <c r="J52" s="20">
        <v>5</v>
      </c>
      <c r="K52" s="20" t="s">
        <v>159</v>
      </c>
      <c r="L52" s="25" t="s">
        <v>160</v>
      </c>
      <c r="M52" s="25">
        <f>6*64.78</f>
        <v>388.68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161</v>
      </c>
      <c r="L53" s="25" t="s">
        <v>162</v>
      </c>
      <c r="M53" s="25">
        <f>2*135.3</f>
        <v>270.6</v>
      </c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7</v>
      </c>
      <c r="K54" s="20" t="s">
        <v>163</v>
      </c>
      <c r="L54" s="25" t="s">
        <v>162</v>
      </c>
      <c r="M54" s="25">
        <f>2*918</f>
        <v>1836</v>
      </c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8</v>
      </c>
      <c r="K55" s="20" t="s">
        <v>164</v>
      </c>
      <c r="L55" s="25" t="s">
        <v>165</v>
      </c>
      <c r="M55" s="25">
        <f>4*564.75</f>
        <v>2259</v>
      </c>
    </row>
    <row r="56" spans="1:13" ht="12.75">
      <c r="A56" s="4" t="s">
        <v>62</v>
      </c>
      <c r="B56" s="10"/>
      <c r="C56" s="10"/>
      <c r="F56" s="8"/>
      <c r="J56" s="20">
        <v>9</v>
      </c>
      <c r="K56" s="20" t="s">
        <v>166</v>
      </c>
      <c r="L56" s="25" t="s">
        <v>162</v>
      </c>
      <c r="M56" s="25">
        <f>2*381.75</f>
        <v>763.5</v>
      </c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B57*D57*2</f>
        <v>37830</v>
      </c>
      <c r="J57" s="20">
        <v>10</v>
      </c>
      <c r="K57" s="20" t="s">
        <v>167</v>
      </c>
      <c r="L57" s="25" t="s">
        <v>162</v>
      </c>
      <c r="M57" s="25">
        <f>2*218.71</f>
        <v>437.42</v>
      </c>
    </row>
    <row r="58" spans="1:13" ht="12.75">
      <c r="A58" s="57" t="s">
        <v>134</v>
      </c>
      <c r="B58" s="57"/>
      <c r="C58" s="57"/>
      <c r="D58" s="53"/>
      <c r="E58" s="46"/>
      <c r="F58" s="58">
        <v>0</v>
      </c>
      <c r="J58" s="20">
        <v>11</v>
      </c>
      <c r="K58" s="20" t="s">
        <v>168</v>
      </c>
      <c r="L58" s="25" t="s">
        <v>169</v>
      </c>
      <c r="M58" s="25">
        <f>4*20.55</f>
        <v>82.2</v>
      </c>
    </row>
    <row r="59" spans="1:13" ht="12.75">
      <c r="A59" s="4" t="s">
        <v>70</v>
      </c>
      <c r="F59" s="8">
        <f>SUM(F57+F58)</f>
        <v>37830</v>
      </c>
      <c r="J59" s="20">
        <v>12</v>
      </c>
      <c r="K59" s="20" t="s">
        <v>170</v>
      </c>
      <c r="L59" s="25" t="s">
        <v>162</v>
      </c>
      <c r="M59" s="25">
        <f>2*15.13</f>
        <v>30.26</v>
      </c>
    </row>
    <row r="60" spans="1:13" ht="12.75">
      <c r="A60" s="4" t="s">
        <v>64</v>
      </c>
      <c r="B60" s="4"/>
      <c r="J60" s="20">
        <v>13</v>
      </c>
      <c r="K60" s="20" t="s">
        <v>171</v>
      </c>
      <c r="L60" s="25" t="s">
        <v>162</v>
      </c>
      <c r="M60" s="25">
        <f>2*14</f>
        <v>28</v>
      </c>
    </row>
    <row r="61" spans="1:13" ht="12.75">
      <c r="A61" t="s">
        <v>18</v>
      </c>
      <c r="C61" s="46">
        <v>295302</v>
      </c>
      <c r="D61">
        <v>222535.4</v>
      </c>
      <c r="E61">
        <v>5945.5</v>
      </c>
      <c r="F61" s="34">
        <f>C61/D61*E61</f>
        <v>7889.612353809775</v>
      </c>
      <c r="J61" s="20">
        <v>14</v>
      </c>
      <c r="K61" s="20" t="s">
        <v>172</v>
      </c>
      <c r="L61" s="25" t="s">
        <v>173</v>
      </c>
      <c r="M61" s="25">
        <f>10*35</f>
        <v>350</v>
      </c>
    </row>
    <row r="62" spans="1:13" ht="12.75">
      <c r="A62" t="s">
        <v>19</v>
      </c>
      <c r="F62" s="34">
        <f>M20</f>
        <v>1530.7316623200002</v>
      </c>
      <c r="J62" s="20">
        <v>15</v>
      </c>
      <c r="K62" s="20" t="s">
        <v>174</v>
      </c>
      <c r="L62" s="25" t="s">
        <v>173</v>
      </c>
      <c r="M62" s="25">
        <f>10*15</f>
        <v>150</v>
      </c>
    </row>
    <row r="63" spans="1:13" ht="12.75">
      <c r="A63" t="s">
        <v>20</v>
      </c>
      <c r="F63" s="11">
        <f>M44</f>
        <v>39399.41466690432</v>
      </c>
      <c r="J63" s="20">
        <v>16</v>
      </c>
      <c r="K63" s="20" t="s">
        <v>175</v>
      </c>
      <c r="L63" s="25" t="s">
        <v>162</v>
      </c>
      <c r="M63" s="25">
        <f>2*40</f>
        <v>80</v>
      </c>
    </row>
    <row r="64" spans="1:13" ht="12.75">
      <c r="A64" t="s">
        <v>75</v>
      </c>
      <c r="F64" s="5">
        <f>1*600*1.302</f>
        <v>781.2</v>
      </c>
      <c r="J64" s="20">
        <v>17</v>
      </c>
      <c r="K64" s="20" t="s">
        <v>176</v>
      </c>
      <c r="L64" s="25" t="s">
        <v>162</v>
      </c>
      <c r="M64" s="25">
        <f>2*346.43</f>
        <v>692.86</v>
      </c>
    </row>
    <row r="65" spans="1:13" ht="12.75">
      <c r="A65" t="s">
        <v>21</v>
      </c>
      <c r="F65" s="11">
        <f>M84</f>
        <v>36213.523</v>
      </c>
      <c r="J65" s="20">
        <v>18</v>
      </c>
      <c r="K65" s="20" t="s">
        <v>177</v>
      </c>
      <c r="L65" s="25" t="s">
        <v>162</v>
      </c>
      <c r="M65" s="25">
        <f>2*24</f>
        <v>48</v>
      </c>
    </row>
    <row r="66" spans="1:13" ht="12.75">
      <c r="A66" t="s">
        <v>22</v>
      </c>
      <c r="F66" s="5"/>
      <c r="J66" s="20">
        <v>19</v>
      </c>
      <c r="K66" s="20" t="s">
        <v>178</v>
      </c>
      <c r="L66" s="25" t="s">
        <v>162</v>
      </c>
      <c r="M66" s="25">
        <f>2*22.91</f>
        <v>45.82</v>
      </c>
    </row>
    <row r="67" spans="1:13" ht="12.75">
      <c r="A67" t="s">
        <v>23</v>
      </c>
      <c r="F67" s="5"/>
      <c r="J67" s="20">
        <v>20</v>
      </c>
      <c r="K67" s="20" t="s">
        <v>179</v>
      </c>
      <c r="L67" s="25" t="s">
        <v>162</v>
      </c>
      <c r="M67" s="25">
        <f>2*90.61</f>
        <v>181.22</v>
      </c>
    </row>
    <row r="68" spans="2:13" ht="12.75">
      <c r="B68">
        <v>5945.5</v>
      </c>
      <c r="C68" t="s">
        <v>13</v>
      </c>
      <c r="D68" s="11">
        <v>0.23</v>
      </c>
      <c r="E68" t="s">
        <v>14</v>
      </c>
      <c r="F68" s="11">
        <f>B68*D68</f>
        <v>1367.4650000000001</v>
      </c>
      <c r="J68" s="20">
        <v>21</v>
      </c>
      <c r="K68" s="20" t="s">
        <v>180</v>
      </c>
      <c r="L68" s="25" t="s">
        <v>162</v>
      </c>
      <c r="M68" s="25">
        <f>2*126.14</f>
        <v>252.28</v>
      </c>
    </row>
    <row r="69" spans="1:13" ht="12.75">
      <c r="A69" s="46" t="s">
        <v>78</v>
      </c>
      <c r="B69" s="46"/>
      <c r="C69" s="46"/>
      <c r="D69" s="46"/>
      <c r="E69" s="46"/>
      <c r="F69" s="53">
        <v>0</v>
      </c>
      <c r="J69" s="20">
        <v>22</v>
      </c>
      <c r="K69" s="20" t="s">
        <v>181</v>
      </c>
      <c r="L69" s="25" t="s">
        <v>182</v>
      </c>
      <c r="M69" s="25">
        <f>30*11.24</f>
        <v>337.2</v>
      </c>
    </row>
    <row r="70" spans="1:13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  <c r="J70" s="20">
        <v>23</v>
      </c>
      <c r="K70" s="20" t="s">
        <v>183</v>
      </c>
      <c r="L70" s="25" t="s">
        <v>184</v>
      </c>
      <c r="M70" s="25">
        <f>8*500</f>
        <v>4000</v>
      </c>
    </row>
    <row r="71" spans="1:13" ht="12.75">
      <c r="A71" s="4" t="s">
        <v>67</v>
      </c>
      <c r="B71" s="10"/>
      <c r="C71" s="10"/>
      <c r="F71" s="31">
        <f>SUM(F61:F70)</f>
        <v>87181.9466830341</v>
      </c>
      <c r="J71" s="20">
        <v>24</v>
      </c>
      <c r="K71" s="20" t="s">
        <v>185</v>
      </c>
      <c r="L71" s="25" t="s">
        <v>186</v>
      </c>
      <c r="M71" s="25">
        <f>28*231.53</f>
        <v>6482.84</v>
      </c>
    </row>
    <row r="72" spans="1:13" ht="12.75">
      <c r="A72" s="4" t="s">
        <v>65</v>
      </c>
      <c r="F72" s="5"/>
      <c r="J72" s="20">
        <v>25</v>
      </c>
      <c r="K72" s="20" t="s">
        <v>187</v>
      </c>
      <c r="L72" s="25" t="s">
        <v>188</v>
      </c>
      <c r="M72" s="25">
        <f>12*150</f>
        <v>1800</v>
      </c>
    </row>
    <row r="73" spans="1:13" ht="12.75">
      <c r="A73" t="s">
        <v>24</v>
      </c>
      <c r="B73">
        <v>5945.5</v>
      </c>
      <c r="C73" t="s">
        <v>60</v>
      </c>
      <c r="D73" s="5">
        <v>0.2</v>
      </c>
      <c r="E73" t="s">
        <v>14</v>
      </c>
      <c r="F73" s="11">
        <f>B73*D73</f>
        <v>1189.1000000000001</v>
      </c>
      <c r="J73" s="20">
        <v>26</v>
      </c>
      <c r="K73" s="20" t="s">
        <v>189</v>
      </c>
      <c r="L73" s="25" t="s">
        <v>190</v>
      </c>
      <c r="M73" s="25">
        <f>6*120</f>
        <v>720</v>
      </c>
    </row>
    <row r="74" spans="1:13" ht="12.75">
      <c r="A74" t="s">
        <v>25</v>
      </c>
      <c r="F74" s="5"/>
      <c r="J74" s="20">
        <v>27</v>
      </c>
      <c r="K74" s="20" t="s">
        <v>191</v>
      </c>
      <c r="L74" s="25" t="s">
        <v>192</v>
      </c>
      <c r="M74" s="25">
        <f>12*156.5</f>
        <v>1878</v>
      </c>
    </row>
    <row r="75" spans="1:13" ht="12.75">
      <c r="A75" s="7" t="s">
        <v>76</v>
      </c>
      <c r="F75" s="5"/>
      <c r="J75" s="20">
        <v>28</v>
      </c>
      <c r="K75" s="20" t="s">
        <v>193</v>
      </c>
      <c r="L75" s="25" t="s">
        <v>165</v>
      </c>
      <c r="M75" s="25">
        <f>4*30</f>
        <v>120</v>
      </c>
    </row>
    <row r="76" spans="2:13" ht="12.75">
      <c r="B76">
        <v>5945.5</v>
      </c>
      <c r="C76" t="s">
        <v>13</v>
      </c>
      <c r="D76" s="11">
        <v>3.37</v>
      </c>
      <c r="E76" t="s">
        <v>14</v>
      </c>
      <c r="F76" s="11">
        <f>B76*D76</f>
        <v>20036.335</v>
      </c>
      <c r="J76" s="20">
        <v>29</v>
      </c>
      <c r="K76" s="20" t="s">
        <v>194</v>
      </c>
      <c r="L76" s="25" t="s">
        <v>173</v>
      </c>
      <c r="M76" s="25">
        <f>10*13.49</f>
        <v>134.9</v>
      </c>
    </row>
    <row r="77" spans="1:13" ht="12.75">
      <c r="A77" s="4" t="s">
        <v>66</v>
      </c>
      <c r="F77" s="31">
        <f>F73+F76</f>
        <v>21225.434999999998</v>
      </c>
      <c r="J77" s="20">
        <v>30</v>
      </c>
      <c r="K77" s="20" t="s">
        <v>196</v>
      </c>
      <c r="L77" s="25" t="s">
        <v>173</v>
      </c>
      <c r="M77" s="25">
        <f>10*20</f>
        <v>200</v>
      </c>
    </row>
    <row r="78" spans="1:13" ht="12.75">
      <c r="A78" s="4" t="s">
        <v>68</v>
      </c>
      <c r="G78" s="7"/>
      <c r="H78" s="7"/>
      <c r="J78" s="20">
        <v>31</v>
      </c>
      <c r="K78" s="20"/>
      <c r="L78" s="25"/>
      <c r="M78" s="25"/>
    </row>
    <row r="79" spans="1:13" ht="12.75">
      <c r="A79" s="7" t="s">
        <v>26</v>
      </c>
      <c r="B79" s="7"/>
      <c r="C79" s="7"/>
      <c r="D79" s="7"/>
      <c r="E79" s="7"/>
      <c r="F79" s="7"/>
      <c r="J79" s="20">
        <v>32</v>
      </c>
      <c r="K79" s="20"/>
      <c r="L79" s="25"/>
      <c r="M79" s="25"/>
    </row>
    <row r="80" spans="2:13" ht="12.75">
      <c r="B80">
        <v>5945.5</v>
      </c>
      <c r="C80" t="s">
        <v>13</v>
      </c>
      <c r="D80" s="11">
        <v>2.79</v>
      </c>
      <c r="E80" t="s">
        <v>14</v>
      </c>
      <c r="F80" s="11">
        <f>B80*D80</f>
        <v>16587.945</v>
      </c>
      <c r="J80" s="20">
        <v>33</v>
      </c>
      <c r="K80" s="20"/>
      <c r="L80" s="25"/>
      <c r="M80" s="25"/>
    </row>
    <row r="81" spans="1:13" ht="12.75">
      <c r="A81" s="4" t="s">
        <v>69</v>
      </c>
      <c r="F81" s="31">
        <f>SUM(F80)</f>
        <v>16587.945</v>
      </c>
      <c r="I81" s="7"/>
      <c r="J81" s="20">
        <v>34</v>
      </c>
      <c r="K81" s="20"/>
      <c r="L81" s="25"/>
      <c r="M81" s="25"/>
    </row>
    <row r="82" spans="1:13" ht="12.75">
      <c r="A82" s="55" t="s">
        <v>81</v>
      </c>
      <c r="B82" s="46"/>
      <c r="C82" s="46"/>
      <c r="D82" s="53">
        <v>0</v>
      </c>
      <c r="E82" s="46"/>
      <c r="F82" s="56">
        <f>D82*E32</f>
        <v>0</v>
      </c>
      <c r="J82" s="20">
        <v>35</v>
      </c>
      <c r="K82" s="20"/>
      <c r="L82" s="25"/>
      <c r="M82" s="25"/>
    </row>
    <row r="83" spans="1:13" ht="12.75">
      <c r="A83" s="1" t="s">
        <v>27</v>
      </c>
      <c r="B83" s="1"/>
      <c r="F83" s="31">
        <f>F51+F55+F59+F71+F77+F81+F82</f>
        <v>177470.3446830341</v>
      </c>
      <c r="J83" s="20">
        <v>36</v>
      </c>
      <c r="K83" s="20"/>
      <c r="L83" s="25"/>
      <c r="M83" s="25"/>
    </row>
    <row r="84" spans="1:13" ht="12.75">
      <c r="A84" s="1" t="s">
        <v>79</v>
      </c>
      <c r="B84" s="36"/>
      <c r="C84" s="36">
        <v>0.058</v>
      </c>
      <c r="D84" s="1"/>
      <c r="E84" s="1"/>
      <c r="F84" s="31">
        <f>F83*5.8%</f>
        <v>10293.279991615978</v>
      </c>
      <c r="J84" s="20"/>
      <c r="K84" s="20"/>
      <c r="L84" s="30" t="s">
        <v>59</v>
      </c>
      <c r="M84" s="33">
        <f>SUM(M48:M83)</f>
        <v>36213.523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651.58</v>
      </c>
    </row>
    <row r="87" spans="1:6" ht="12.75">
      <c r="A87" s="1"/>
      <c r="B87" s="36" t="s">
        <v>133</v>
      </c>
      <c r="C87" s="36"/>
      <c r="D87" s="1"/>
      <c r="E87" s="51"/>
      <c r="F87" s="52">
        <v>3587.56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207444.90257465007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138</v>
      </c>
    </row>
    <row r="90" spans="1:6" ht="12.75">
      <c r="A90" s="13"/>
      <c r="B90" s="39">
        <v>44805</v>
      </c>
      <c r="C90" s="40">
        <v>-100301</v>
      </c>
      <c r="D90" s="43">
        <f>F43</f>
        <v>132155.6</v>
      </c>
      <c r="E90" s="43">
        <f>F88</f>
        <v>207444.90257465007</v>
      </c>
      <c r="F90" s="44">
        <f>C90+D90-E90</f>
        <v>-175590.30257465006</v>
      </c>
    </row>
    <row r="92" spans="1:6" ht="13.5" thickBot="1">
      <c r="A92" t="s">
        <v>115</v>
      </c>
      <c r="C92" s="48">
        <v>44805</v>
      </c>
      <c r="D92" s="8" t="s">
        <v>116</v>
      </c>
      <c r="E92" s="48">
        <v>44834</v>
      </c>
      <c r="F92" t="s">
        <v>117</v>
      </c>
    </row>
    <row r="93" spans="1:7" ht="13.5" thickBot="1">
      <c r="A93" t="s">
        <v>118</v>
      </c>
      <c r="F93" s="49">
        <f>E90</f>
        <v>207444.90257465007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2023-01-12T17:05:08Z</cp:lastPrinted>
  <dcterms:created xsi:type="dcterms:W3CDTF">2008-08-18T07:30:19Z</dcterms:created>
  <dcterms:modified xsi:type="dcterms:W3CDTF">2023-01-12T17:05:09Z</dcterms:modified>
  <cp:category/>
  <cp:version/>
  <cp:contentType/>
  <cp:contentStatus/>
</cp:coreProperties>
</file>