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<sst xmlns="http://schemas.openxmlformats.org/spreadsheetml/2006/main" count="221" uniqueCount="181">
  <si>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</si>
  <si>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</si>
  <si>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</si>
  <si>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</si>
  <si>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</si>
  <si>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</si>
  <si>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</si>
  <si>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</si>
  <si>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</si>
  <si>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</si>
  <si>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</si>
  <si>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</si>
  <si>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</si>
  <si>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</si>
  <si>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</si>
  <si>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</si>
  <si>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</si>
  <si>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</si>
  <si>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</si>
  <si>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</si>
  <si>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</si>
  <si>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</si>
  <si>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</si>
  <si>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</si>
  <si>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</si>
  <si>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</si>
  <si>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</si>
  <si>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</si>
  <si>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</si>
  <si>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</si>
  <si>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</si>
  <si>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</si>
  <si>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</si>
  <si>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</si>
  <si>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</si>
  <si>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</si>
  <si>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</si>
  <si>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</si>
  <si>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</si>
  <si>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</si>
  <si>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</si>
  <si>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</si>
  <si>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</si>
  <si>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</si>
  <si>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</si>
  <si>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</si>
  <si>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</si>
  <si>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</si>
  <si>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</si>
  <si>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</si>
  <si>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</si>
  <si>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</si>
  <si>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</si>
  <si>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</si>
  <si>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</si>
  <si>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</si>
  <si>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</si>
  <si>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</si>
  <si>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</si>
  <si>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</si>
  <si>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</si>
  <si>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</si>
  <si>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</si>
  <si>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</si>
  <si>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</si>
  <si>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</si>
  <si>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</si>
  <si>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</si>
  <si>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</si>
  <si>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</si>
  <si>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</si>
  <si>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</si>
  <si>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</si>
  <si>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</si>
  <si>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</si>
  <si>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</si>
  <si>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</si>
  <si>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</si>
  <si>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</si>
  <si>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</si>
  <si>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</si>
  <si>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</si>
  <si>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</si>
  <si>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</si>
  <si>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</si>
  <si>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</si>
  <si>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</si>
  <si>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</si>
  <si>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</si>
  <si>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</si>
  <si>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</si>
  <si>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</si>
  <si>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</si>
  <si>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</si>
  <si>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</si>
  <si>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</si>
  <si>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</si>
  <si>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</si>
  <si>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</si>
  <si>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</si>
  <si>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</si>
  <si>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</si>
  <si>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</si>
  <si>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</si>
  <si>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</si>
  <si>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</si>
  <si>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</si>
  <si>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</si>
  <si>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</si>
  <si>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</si>
  <si>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</si>
  <si>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</si>
  <si>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</si>
  <si>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</si>
  <si>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</si>
  <si>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</si>
  <si>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</si>
  <si>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</si>
  <si>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</si>
  <si>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</si>
  <si>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</si>
  <si>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</si>
  <si>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</si>
  <si>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</si>
  <si>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</si>
  <si>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</si>
  <si>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</si>
  <si>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</si>
  <si>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</si>
  <si>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</si>
  <si>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</si>
  <si>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2021г.</t>
  </si>
  <si>
    <t>за   январь-февраль  2022 г.</t>
  </si>
  <si>
    <t>ост.на 01.03</t>
  </si>
  <si>
    <t>вышка</t>
  </si>
  <si>
    <t xml:space="preserve">сдвижение снега </t>
  </si>
  <si>
    <t>смена труб д 100 пвх (1мп) т.п</t>
  </si>
  <si>
    <t>труба д 100</t>
  </si>
  <si>
    <t>1мп</t>
  </si>
  <si>
    <t>смена труб д 50 пвх (3мп) т.п</t>
  </si>
  <si>
    <t>уст-ка заглушки 50 (3шт)</t>
  </si>
  <si>
    <t>трайник 110</t>
  </si>
  <si>
    <t>1шт</t>
  </si>
  <si>
    <t>трайник 50</t>
  </si>
  <si>
    <t>2шт</t>
  </si>
  <si>
    <t>отвод 50 пвх</t>
  </si>
  <si>
    <t>6шт</t>
  </si>
  <si>
    <t>труба пвх 50 1,5мп</t>
  </si>
  <si>
    <t>труба пвх 50 1мп</t>
  </si>
  <si>
    <t>труба пвх 50 0,5мп</t>
  </si>
  <si>
    <t>заглушка 50</t>
  </si>
  <si>
    <t>3шт</t>
  </si>
  <si>
    <t>переход м/пл.</t>
  </si>
  <si>
    <t>11шт</t>
  </si>
  <si>
    <t>смена труб д 50 (5мп) подвал</t>
  </si>
  <si>
    <t>смена труб д 32 (2мп) подвал</t>
  </si>
  <si>
    <t>смена гебо  (3шт)</t>
  </si>
  <si>
    <t>смена вентиля д 25 (1шт) подвал</t>
  </si>
  <si>
    <t>труба д 50 п.пр.</t>
  </si>
  <si>
    <t>5мп</t>
  </si>
  <si>
    <t>гебо 40</t>
  </si>
  <si>
    <t xml:space="preserve">муфта </t>
  </si>
  <si>
    <t>труба д. 32</t>
  </si>
  <si>
    <t>американка 32</t>
  </si>
  <si>
    <t>муфта 32</t>
  </si>
  <si>
    <t>гебо 25</t>
  </si>
  <si>
    <t>вентиль д 25</t>
  </si>
  <si>
    <t>муфта 25</t>
  </si>
  <si>
    <t>8шт</t>
  </si>
  <si>
    <t>муфта 20</t>
  </si>
  <si>
    <t>слив и заполнение системы отопления</t>
  </si>
  <si>
    <t>смена труб д 25 п.пр. (2мп)</t>
  </si>
  <si>
    <t>труба д 25 п.пр.</t>
  </si>
  <si>
    <t>2мп</t>
  </si>
  <si>
    <t>цанга</t>
  </si>
  <si>
    <t>смена ламп (5шт) п-д1,3</t>
  </si>
  <si>
    <t>лампа</t>
  </si>
  <si>
    <t>5шт</t>
  </si>
  <si>
    <t>смена ламп (9шт) п-д1,3</t>
  </si>
  <si>
    <t>9шт</t>
  </si>
  <si>
    <t>февраля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</si>
</sst>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1.2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180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L6*160.174*1.302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10.81</v>
      </c>
      <c r="M14" s="51">
        <f t="shared" si="0"/>
        <v>2254.3881838800003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7.5</v>
      </c>
      <c r="M17" s="51">
        <f t="shared" si="0"/>
        <v>1564.09911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25.3</v>
      </c>
      <c r="M20" s="34">
        <f>SUM(M6:M19)</f>
        <v>5276.227664400001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/>
      <c r="M24" s="33">
        <f>4300+1900+1000</f>
        <v>7200</v>
      </c>
    </row>
    <row r="25" spans="1:13" ht="12.75">
      <c r="A25" t="s">
        <v>106</v>
      </c>
      <c r="J25" s="20">
        <v>2</v>
      </c>
      <c r="K25" s="20" t="s">
        <v>136</v>
      </c>
      <c r="L25" s="25">
        <v>1.46</v>
      </c>
      <c r="M25" s="33">
        <f aca="true" t="shared" si="1" ref="M25:M41">L25*160.174*1.302*1.15</f>
        <v>350.149654092</v>
      </c>
    </row>
    <row r="26" spans="1:13" ht="12.75">
      <c r="A26" t="s">
        <v>107</v>
      </c>
      <c r="J26" s="20">
        <v>3</v>
      </c>
      <c r="K26" s="20" t="s">
        <v>139</v>
      </c>
      <c r="L26" s="25">
        <f>0.03*133.04</f>
        <v>3.9911999999999996</v>
      </c>
      <c r="M26" s="33">
        <f t="shared" si="1"/>
        <v>957.2036297342398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140</v>
      </c>
      <c r="L27" s="51">
        <f>3*1.12</f>
        <v>3.3600000000000003</v>
      </c>
      <c r="M27" s="33">
        <f t="shared" si="1"/>
        <v>805.8238614720001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154</v>
      </c>
      <c r="L28" s="25">
        <f>0.05*133.04</f>
        <v>6.652</v>
      </c>
      <c r="M28" s="33">
        <f t="shared" si="1"/>
        <v>1595.3393828904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156</v>
      </c>
      <c r="L29" s="51">
        <f>1.03*3</f>
        <v>3.09</v>
      </c>
      <c r="M29" s="33">
        <f t="shared" si="1"/>
        <v>741.0701583179999</v>
      </c>
    </row>
    <row r="30" spans="10:13" ht="12.75">
      <c r="J30" s="20">
        <v>7</v>
      </c>
      <c r="K30" s="20" t="s">
        <v>155</v>
      </c>
      <c r="L30" s="25">
        <f>0.02*156.46</f>
        <v>3.1292000000000004</v>
      </c>
      <c r="M30" s="33">
        <f t="shared" si="1"/>
        <v>750.4714367018402</v>
      </c>
    </row>
    <row r="31" spans="2:13" ht="12.75">
      <c r="B31" t="s">
        <v>0</v>
      </c>
      <c r="J31" s="20">
        <v>8</v>
      </c>
      <c r="K31" s="20" t="s">
        <v>157</v>
      </c>
      <c r="L31" s="25">
        <v>1.03</v>
      </c>
      <c r="M31" s="33">
        <f t="shared" si="1"/>
        <v>247.02338610599998</v>
      </c>
    </row>
    <row r="32" spans="10:13" ht="12.75">
      <c r="J32" s="20">
        <v>9</v>
      </c>
      <c r="K32" s="20" t="s">
        <v>170</v>
      </c>
      <c r="L32" s="25">
        <v>2.45</v>
      </c>
      <c r="M32" s="33">
        <f t="shared" si="1"/>
        <v>587.5798989900001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 t="s">
        <v>171</v>
      </c>
      <c r="L33" s="25">
        <f>0.02*184.3</f>
        <v>3.6860000000000004</v>
      </c>
      <c r="M33" s="33">
        <f t="shared" si="1"/>
        <v>884.0079623172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 t="s">
        <v>175</v>
      </c>
      <c r="L34" s="25">
        <v>0.35</v>
      </c>
      <c r="M34" s="33">
        <f t="shared" si="1"/>
        <v>83.93998556999999</v>
      </c>
    </row>
    <row r="35" spans="1:13" ht="12.75">
      <c r="A35" t="s">
        <v>3</v>
      </c>
      <c r="J35" s="20">
        <v>12</v>
      </c>
      <c r="K35" s="20" t="s">
        <v>178</v>
      </c>
      <c r="L35" s="25">
        <f>0.09*7.1</f>
        <v>0.6389999999999999</v>
      </c>
      <c r="M35" s="33">
        <f t="shared" si="1"/>
        <v>153.25043079779996</v>
      </c>
    </row>
    <row r="36" spans="1:13" ht="12.75">
      <c r="A36" t="s">
        <v>4</v>
      </c>
      <c r="E36">
        <v>415.9</v>
      </c>
      <c r="F36" t="s">
        <v>74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5">
        <v>152927.49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5">
        <v>91086.5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0.5956188779401271</v>
      </c>
      <c r="J42" s="20"/>
      <c r="K42" s="30" t="s">
        <v>58</v>
      </c>
      <c r="L42" s="28">
        <f>SUM(L24:L41)</f>
        <v>29.837400000000002</v>
      </c>
      <c r="M42" s="35">
        <f>SUM(M24:M41)</f>
        <v>14355.85978698948</v>
      </c>
    </row>
    <row r="43" spans="1:11" ht="22.5" customHeight="1">
      <c r="A43" s="67" t="s">
        <v>130</v>
      </c>
      <c r="B43" s="68"/>
      <c r="C43" s="68"/>
      <c r="D43" s="68"/>
      <c r="E43" s="68"/>
      <c r="F43" s="11">
        <f>(99.9+232.9+107.7+37.5+174.78+57.6)*13.79+(250+250+400)</f>
        <v>10696.1402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101782.6402</v>
      </c>
      <c r="J44" s="22" t="s">
        <v>36</v>
      </c>
      <c r="K44" s="22"/>
      <c r="L44" s="22" t="s">
        <v>63</v>
      </c>
      <c r="M44" s="22" t="s">
        <v>42</v>
      </c>
    </row>
    <row r="45" spans="6:13" ht="12.75">
      <c r="F45" s="5"/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45">
        <v>1</v>
      </c>
      <c r="K46" s="43" t="s">
        <v>134</v>
      </c>
      <c r="L46" s="23"/>
      <c r="M46" s="59">
        <v>2597</v>
      </c>
    </row>
    <row r="47" spans="10:13" ht="12.75">
      <c r="J47" s="45">
        <v>2</v>
      </c>
      <c r="K47" s="43" t="s">
        <v>137</v>
      </c>
      <c r="L47" s="23" t="s">
        <v>138</v>
      </c>
      <c r="M47" s="23">
        <v>334.97</v>
      </c>
    </row>
    <row r="48" spans="1:13" ht="12.75">
      <c r="A48" s="4" t="s">
        <v>11</v>
      </c>
      <c r="B48" s="4"/>
      <c r="C48" s="4"/>
      <c r="D48" s="4"/>
      <c r="E48" s="4"/>
      <c r="F48" s="4"/>
      <c r="J48" s="45">
        <v>3</v>
      </c>
      <c r="K48" s="43" t="s">
        <v>141</v>
      </c>
      <c r="L48" s="23" t="s">
        <v>144</v>
      </c>
      <c r="M48" s="59">
        <f>2*181.89</f>
        <v>363.78</v>
      </c>
    </row>
    <row r="49" spans="1:13" ht="12.75">
      <c r="A49" t="s">
        <v>12</v>
      </c>
      <c r="F49" s="11">
        <f>(7956+8354)*1.302</f>
        <v>21235.62</v>
      </c>
      <c r="J49" s="45">
        <v>4</v>
      </c>
      <c r="K49" s="43" t="s">
        <v>143</v>
      </c>
      <c r="L49" s="23" t="s">
        <v>144</v>
      </c>
      <c r="M49" s="23">
        <f>2*40</f>
        <v>80</v>
      </c>
    </row>
    <row r="50" spans="1:13" ht="12.75">
      <c r="A50" s="6" t="s">
        <v>15</v>
      </c>
      <c r="F50" s="11">
        <f>(2182+2291)*1.302</f>
        <v>5823.8460000000005</v>
      </c>
      <c r="J50" s="45">
        <v>5</v>
      </c>
      <c r="K50" s="43" t="s">
        <v>145</v>
      </c>
      <c r="L50" s="23" t="s">
        <v>146</v>
      </c>
      <c r="M50" s="23">
        <f>6*23</f>
        <v>138</v>
      </c>
    </row>
    <row r="51" spans="1:13" ht="12.75">
      <c r="A51" s="60" t="s">
        <v>83</v>
      </c>
      <c r="B51" s="57"/>
      <c r="C51" s="61"/>
      <c r="D51" s="61"/>
      <c r="E51" s="65">
        <v>0</v>
      </c>
      <c r="F51" s="66">
        <f>E51*E33</f>
        <v>0</v>
      </c>
      <c r="J51" s="45">
        <v>6</v>
      </c>
      <c r="K51" s="43" t="s">
        <v>147</v>
      </c>
      <c r="L51" s="23" t="s">
        <v>142</v>
      </c>
      <c r="M51" s="23">
        <v>137</v>
      </c>
    </row>
    <row r="52" spans="1:13" ht="12.75">
      <c r="A52" s="4" t="s">
        <v>33</v>
      </c>
      <c r="D52" s="5"/>
      <c r="F52" s="32">
        <f>F49+F50+F51</f>
        <v>27059.466</v>
      </c>
      <c r="J52" s="46">
        <v>7</v>
      </c>
      <c r="K52" s="43" t="s">
        <v>148</v>
      </c>
      <c r="L52" s="25" t="s">
        <v>142</v>
      </c>
      <c r="M52" s="51">
        <v>125.54</v>
      </c>
    </row>
    <row r="53" spans="1:13" ht="12.75">
      <c r="A53" s="4" t="s">
        <v>16</v>
      </c>
      <c r="D53" s="5"/>
      <c r="J53" s="46">
        <v>8</v>
      </c>
      <c r="K53" s="43" t="s">
        <v>149</v>
      </c>
      <c r="L53" s="25" t="s">
        <v>142</v>
      </c>
      <c r="M53" s="25">
        <v>63</v>
      </c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9</v>
      </c>
      <c r="K54" s="44" t="s">
        <v>150</v>
      </c>
      <c r="L54" s="25" t="s">
        <v>151</v>
      </c>
      <c r="M54" s="25">
        <f>3*8</f>
        <v>24</v>
      </c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10</v>
      </c>
      <c r="K55" s="44" t="s">
        <v>152</v>
      </c>
      <c r="L55" s="25" t="s">
        <v>153</v>
      </c>
      <c r="M55" s="25">
        <f>11*65.9</f>
        <v>724.9000000000001</v>
      </c>
    </row>
    <row r="56" spans="1:13" ht="12.75">
      <c r="A56" s="4" t="s">
        <v>17</v>
      </c>
      <c r="B56" s="10"/>
      <c r="C56" s="10"/>
      <c r="F56" s="32">
        <f>SUM(F54:F55)</f>
        <v>0</v>
      </c>
      <c r="J56" s="46">
        <v>11</v>
      </c>
      <c r="K56" s="44" t="s">
        <v>158</v>
      </c>
      <c r="L56" s="25" t="s">
        <v>159</v>
      </c>
      <c r="M56" s="25">
        <f>5*210</f>
        <v>1050</v>
      </c>
    </row>
    <row r="57" spans="1:13" ht="12.75">
      <c r="A57" s="4" t="s">
        <v>18</v>
      </c>
      <c r="B57" s="4"/>
      <c r="J57" s="46">
        <v>12</v>
      </c>
      <c r="K57" s="44" t="s">
        <v>160</v>
      </c>
      <c r="L57" s="25" t="s">
        <v>144</v>
      </c>
      <c r="M57" s="25">
        <f>2*1106</f>
        <v>2212</v>
      </c>
    </row>
    <row r="58" spans="1:13" ht="12.75">
      <c r="A58" t="s">
        <v>19</v>
      </c>
      <c r="C58">
        <v>575588</v>
      </c>
      <c r="D58">
        <v>224780.8</v>
      </c>
      <c r="E58">
        <v>3670.7</v>
      </c>
      <c r="F58" s="36">
        <f>C58/D58*E58</f>
        <v>9399.427671758443</v>
      </c>
      <c r="J58" s="46">
        <v>13</v>
      </c>
      <c r="K58" s="44" t="s">
        <v>161</v>
      </c>
      <c r="L58" s="25" t="s">
        <v>144</v>
      </c>
      <c r="M58" s="25">
        <v>80</v>
      </c>
    </row>
    <row r="59" spans="1:13" ht="12.75">
      <c r="A59" t="s">
        <v>20</v>
      </c>
      <c r="F59" s="36">
        <f>M20</f>
        <v>5276.227664400001</v>
      </c>
      <c r="J59" s="46">
        <v>14</v>
      </c>
      <c r="K59" s="44" t="s">
        <v>162</v>
      </c>
      <c r="L59" s="25" t="s">
        <v>144</v>
      </c>
      <c r="M59" s="25">
        <f>2*212</f>
        <v>424</v>
      </c>
    </row>
    <row r="60" spans="1:13" ht="12.75">
      <c r="A60" t="s">
        <v>21</v>
      </c>
      <c r="F60" s="11">
        <f>M42</f>
        <v>14355.85978698948</v>
      </c>
      <c r="J60" s="46">
        <v>15</v>
      </c>
      <c r="K60" s="44" t="s">
        <v>163</v>
      </c>
      <c r="L60" s="25" t="s">
        <v>146</v>
      </c>
      <c r="M60" s="25">
        <f>6*173</f>
        <v>1038</v>
      </c>
    </row>
    <row r="61" spans="1:13" ht="12.75">
      <c r="A61" t="s">
        <v>70</v>
      </c>
      <c r="F61" s="5">
        <f>2*600*1.302</f>
        <v>1562.4</v>
      </c>
      <c r="J61" s="46">
        <v>16</v>
      </c>
      <c r="K61" s="44" t="s">
        <v>164</v>
      </c>
      <c r="L61" s="25" t="s">
        <v>142</v>
      </c>
      <c r="M61" s="25">
        <v>113.86</v>
      </c>
    </row>
    <row r="62" spans="1:13" ht="12.75">
      <c r="A62" t="s">
        <v>22</v>
      </c>
      <c r="F62" s="5">
        <f>M82</f>
        <v>12824.08</v>
      </c>
      <c r="J62" s="46">
        <v>17</v>
      </c>
      <c r="K62" s="44" t="s">
        <v>165</v>
      </c>
      <c r="L62" s="25" t="s">
        <v>142</v>
      </c>
      <c r="M62" s="25">
        <v>833.47</v>
      </c>
    </row>
    <row r="63" spans="1:13" ht="12.75">
      <c r="A63" t="s">
        <v>23</v>
      </c>
      <c r="F63" s="5"/>
      <c r="J63" s="46">
        <v>18</v>
      </c>
      <c r="K63" s="44" t="s">
        <v>166</v>
      </c>
      <c r="L63" s="25" t="s">
        <v>142</v>
      </c>
      <c r="M63" s="25">
        <v>871</v>
      </c>
    </row>
    <row r="64" spans="1:13" ht="12.75">
      <c r="A64" t="s">
        <v>24</v>
      </c>
      <c r="F64" s="5"/>
      <c r="J64" s="46">
        <v>19</v>
      </c>
      <c r="K64" s="44" t="s">
        <v>164</v>
      </c>
      <c r="L64" s="25" t="s">
        <v>146</v>
      </c>
      <c r="M64" s="25">
        <f>6*8</f>
        <v>48</v>
      </c>
    </row>
    <row r="65" spans="2:13" ht="12.75">
      <c r="B65">
        <v>3670.7</v>
      </c>
      <c r="C65" t="s">
        <v>13</v>
      </c>
      <c r="D65" s="11">
        <v>0.71</v>
      </c>
      <c r="E65" t="s">
        <v>14</v>
      </c>
      <c r="F65" s="11">
        <f>B65*D65</f>
        <v>2606.1969999999997</v>
      </c>
      <c r="J65" s="46">
        <v>20</v>
      </c>
      <c r="K65" s="44" t="s">
        <v>167</v>
      </c>
      <c r="L65" s="25" t="s">
        <v>168</v>
      </c>
      <c r="M65" s="25">
        <f>8*7.77</f>
        <v>62.16</v>
      </c>
    </row>
    <row r="66" spans="1:13" ht="12.75">
      <c r="A66" s="57" t="s">
        <v>75</v>
      </c>
      <c r="B66" s="57"/>
      <c r="C66" s="57"/>
      <c r="D66" s="58"/>
      <c r="E66" s="57"/>
      <c r="F66" s="58">
        <v>0</v>
      </c>
      <c r="J66" s="46">
        <v>21</v>
      </c>
      <c r="K66" s="44" t="s">
        <v>169</v>
      </c>
      <c r="L66" s="25" t="s">
        <v>146</v>
      </c>
      <c r="M66" s="25">
        <f>6*5.27</f>
        <v>31.619999999999997</v>
      </c>
    </row>
    <row r="67" spans="1:13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  <c r="J67" s="46">
        <v>22</v>
      </c>
      <c r="K67" s="44" t="s">
        <v>169</v>
      </c>
      <c r="L67" s="25" t="s">
        <v>146</v>
      </c>
      <c r="M67" s="25">
        <f>6*64.78</f>
        <v>388.68</v>
      </c>
    </row>
    <row r="68" spans="1:13" ht="12.75">
      <c r="A68" s="4" t="s">
        <v>25</v>
      </c>
      <c r="B68" s="10"/>
      <c r="C68" s="10"/>
      <c r="F68" s="32">
        <f>SUM(F58:F67)</f>
        <v>46024.19212314793</v>
      </c>
      <c r="J68" s="46">
        <v>23</v>
      </c>
      <c r="K68" s="44" t="s">
        <v>172</v>
      </c>
      <c r="L68" s="25" t="s">
        <v>173</v>
      </c>
      <c r="M68" s="25">
        <f>2*145.4</f>
        <v>290.8</v>
      </c>
    </row>
    <row r="69" spans="1:13" ht="12.75">
      <c r="A69" s="4" t="s">
        <v>26</v>
      </c>
      <c r="F69" s="5"/>
      <c r="J69" s="46">
        <v>24</v>
      </c>
      <c r="K69" s="44" t="s">
        <v>174</v>
      </c>
      <c r="L69" s="25" t="s">
        <v>144</v>
      </c>
      <c r="M69" s="25">
        <f>2*243</f>
        <v>486</v>
      </c>
    </row>
    <row r="70" spans="1:13" ht="12.75">
      <c r="A70" t="s">
        <v>27</v>
      </c>
      <c r="B70">
        <v>3670.7</v>
      </c>
      <c r="C70" s="5" t="s">
        <v>13</v>
      </c>
      <c r="D70" s="5">
        <v>0.39</v>
      </c>
      <c r="E70" t="s">
        <v>14</v>
      </c>
      <c r="F70" s="11">
        <f>B70*D70</f>
        <v>1431.5729999999999</v>
      </c>
      <c r="J70" s="46">
        <v>25</v>
      </c>
      <c r="K70" s="44" t="s">
        <v>176</v>
      </c>
      <c r="L70" s="25" t="s">
        <v>177</v>
      </c>
      <c r="M70" s="25">
        <f>5*11.4</f>
        <v>57</v>
      </c>
    </row>
    <row r="71" spans="1:13" ht="12.75">
      <c r="A71" t="s">
        <v>28</v>
      </c>
      <c r="F71" s="5"/>
      <c r="J71" s="46">
        <v>26</v>
      </c>
      <c r="K71" s="44" t="s">
        <v>176</v>
      </c>
      <c r="L71" s="25" t="s">
        <v>179</v>
      </c>
      <c r="M71" s="25">
        <f>9*27.7</f>
        <v>249.29999999999998</v>
      </c>
    </row>
    <row r="72" spans="1:13" ht="12.75">
      <c r="A72" s="7" t="s">
        <v>71</v>
      </c>
      <c r="F72" s="5"/>
      <c r="J72" s="46">
        <v>27</v>
      </c>
      <c r="K72" s="44"/>
      <c r="L72" s="25"/>
      <c r="M72" s="25"/>
    </row>
    <row r="73" spans="2:13" ht="12.75">
      <c r="B73">
        <v>3670.7</v>
      </c>
      <c r="C73" t="s">
        <v>13</v>
      </c>
      <c r="D73" s="11">
        <v>2.38</v>
      </c>
      <c r="E73" t="s">
        <v>14</v>
      </c>
      <c r="F73" s="5">
        <f>B73*D73</f>
        <v>8736.266</v>
      </c>
      <c r="J73" s="46">
        <v>28</v>
      </c>
      <c r="K73" s="44"/>
      <c r="L73" s="25"/>
      <c r="M73" s="25"/>
    </row>
    <row r="74" spans="1:13" ht="12.75">
      <c r="A74" s="10" t="s">
        <v>29</v>
      </c>
      <c r="F74" s="8">
        <f>F70+F73</f>
        <v>10167.839</v>
      </c>
      <c r="J74" s="46">
        <v>29</v>
      </c>
      <c r="K74" s="44"/>
      <c r="L74" s="25"/>
      <c r="M74" s="25"/>
    </row>
    <row r="75" spans="1:13" ht="12.75">
      <c r="A75" s="4" t="s">
        <v>30</v>
      </c>
      <c r="J75" s="46">
        <v>30</v>
      </c>
      <c r="K75" s="44"/>
      <c r="L75" s="25"/>
      <c r="M75" s="25"/>
    </row>
    <row r="76" spans="1:13" ht="12.75">
      <c r="A76" s="7" t="s">
        <v>72</v>
      </c>
      <c r="B76" s="7"/>
      <c r="C76" s="7"/>
      <c r="D76" s="7"/>
      <c r="E76" s="7"/>
      <c r="F76" s="7"/>
      <c r="J76" s="46">
        <v>31</v>
      </c>
      <c r="K76" s="44"/>
      <c r="L76" s="25"/>
      <c r="M76" s="25"/>
    </row>
    <row r="77" spans="2:13" ht="12.75">
      <c r="B77">
        <v>3670.7</v>
      </c>
      <c r="C77" t="s">
        <v>13</v>
      </c>
      <c r="D77" s="11">
        <v>4.62</v>
      </c>
      <c r="E77" t="s">
        <v>14</v>
      </c>
      <c r="F77" s="11">
        <f>B77*D77</f>
        <v>16958.634</v>
      </c>
      <c r="J77" s="46">
        <v>32</v>
      </c>
      <c r="K77" s="44"/>
      <c r="L77" s="25"/>
      <c r="M77" s="25"/>
    </row>
    <row r="78" spans="1:13" ht="12.75">
      <c r="A78" s="62" t="s">
        <v>31</v>
      </c>
      <c r="B78" s="57"/>
      <c r="C78" s="57"/>
      <c r="D78" s="57"/>
      <c r="E78" s="57"/>
      <c r="F78" s="63">
        <f>SUM(F77)</f>
        <v>16958.634</v>
      </c>
      <c r="J78" s="46">
        <v>33</v>
      </c>
      <c r="K78" s="44"/>
      <c r="L78" s="25"/>
      <c r="M78" s="25"/>
    </row>
    <row r="79" spans="1:13" ht="12.75">
      <c r="A79" s="62" t="s">
        <v>78</v>
      </c>
      <c r="B79" s="57"/>
      <c r="C79" s="57"/>
      <c r="D79" s="64">
        <v>0</v>
      </c>
      <c r="E79" s="57"/>
      <c r="F79" s="63">
        <f>D79*E33</f>
        <v>0</v>
      </c>
      <c r="J79" s="46">
        <v>34</v>
      </c>
      <c r="K79" s="44"/>
      <c r="L79" s="25"/>
      <c r="M79" s="25"/>
    </row>
    <row r="80" spans="1:13" ht="12.75">
      <c r="A80" s="1" t="s">
        <v>32</v>
      </c>
      <c r="B80" s="1"/>
      <c r="F80" s="32">
        <f>F52+F56+F68+F74+F78+F79</f>
        <v>100210.13112314793</v>
      </c>
      <c r="J80" s="46">
        <v>35</v>
      </c>
      <c r="K80" s="44"/>
      <c r="L80" s="25"/>
      <c r="M80" s="25"/>
    </row>
    <row r="81" spans="1:13" ht="12.75">
      <c r="A81" s="1" t="s">
        <v>76</v>
      </c>
      <c r="B81" s="37"/>
      <c r="C81" s="37">
        <v>0.058</v>
      </c>
      <c r="D81" s="1"/>
      <c r="E81" s="1"/>
      <c r="F81" s="32">
        <f>F80*5.8%</f>
        <v>5812.18760514258</v>
      </c>
      <c r="I81" s="7"/>
      <c r="J81" s="46">
        <v>36</v>
      </c>
      <c r="K81" s="44"/>
      <c r="L81" s="25"/>
      <c r="M81" s="25"/>
    </row>
    <row r="82" spans="1:13" ht="12.75">
      <c r="A82" s="1"/>
      <c r="B82" s="37" t="s">
        <v>127</v>
      </c>
      <c r="C82" s="37"/>
      <c r="D82" s="1"/>
      <c r="E82" s="55"/>
      <c r="F82" s="56">
        <v>0</v>
      </c>
      <c r="I82" s="7"/>
      <c r="J82" s="20"/>
      <c r="K82" s="20"/>
      <c r="L82" s="31" t="s">
        <v>65</v>
      </c>
      <c r="M82" s="28">
        <f>SUM(M46:M81)</f>
        <v>12824.08</v>
      </c>
    </row>
    <row r="83" spans="1:9" ht="12.75">
      <c r="A83" s="1"/>
      <c r="B83" s="37" t="s">
        <v>128</v>
      </c>
      <c r="C83" s="37"/>
      <c r="D83" s="1"/>
      <c r="E83" s="55"/>
      <c r="F83" s="56">
        <f>2*293.7</f>
        <v>587.4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106609.7187282905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133</v>
      </c>
    </row>
    <row r="87" spans="1:6" ht="12.75">
      <c r="A87" s="13"/>
      <c r="B87" s="41">
        <v>44562</v>
      </c>
      <c r="C87" s="42">
        <v>286594</v>
      </c>
      <c r="D87" s="48">
        <f>F44</f>
        <v>101782.6402</v>
      </c>
      <c r="E87" s="48">
        <f>F85</f>
        <v>106609.7187282905</v>
      </c>
      <c r="F87" s="49">
        <f>C87+D87-E87</f>
        <v>281766.9214717095</v>
      </c>
    </row>
    <row r="89" spans="1:6" ht="13.5" thickBot="1">
      <c r="A89" t="s">
        <v>111</v>
      </c>
      <c r="C89" s="53">
        <v>44562</v>
      </c>
      <c r="D89" s="8" t="s">
        <v>112</v>
      </c>
      <c r="E89" s="53">
        <v>44620</v>
      </c>
      <c r="F89" t="s">
        <v>113</v>
      </c>
    </row>
    <row r="90" spans="1:7" ht="13.5" thickBot="1">
      <c r="A90" t="s">
        <v>114</v>
      </c>
      <c r="F90" s="54">
        <f>E87</f>
        <v>106609.7187282905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2017-08-21T12:45:18Z</cp:lastPrinted>
  <dcterms:created xsi:type="dcterms:W3CDTF">2008-08-18T07:30:19Z</dcterms:created>
  <dcterms:modified xsi:type="dcterms:W3CDTF">2022-04-28T13:19:02Z</dcterms:modified>
  <cp:category/>
  <cp:version/>
  <cp:contentType/>
  <cp:contentStatus/>
</cp:coreProperties>
</file>