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<sst xmlns="http://schemas.openxmlformats.org/spreadsheetml/2006/main" count="244" uniqueCount="201">
  <si>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</si>
  <si>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</si>
  <si>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</si>
  <si>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</si>
  <si>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</si>
  <si>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</si>
  <si>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</si>
  <si>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</si>
  <si>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</si>
  <si>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</si>
  <si>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</si>
  <si>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</si>
  <si>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</si>
  <si>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</si>
  <si>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</si>
  <si>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</si>
  <si>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</si>
  <si>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</si>
  <si>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</si>
  <si>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</si>
  <si>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</si>
  <si>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</si>
  <si>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</si>
  <si>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</si>
  <si>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</si>
  <si>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</si>
  <si>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</si>
  <si>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</si>
  <si>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</si>
  <si>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</si>
  <si>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</si>
  <si>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</si>
  <si>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</si>
  <si>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</si>
  <si>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</si>
  <si>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</si>
  <si>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</si>
  <si>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</si>
  <si>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</si>
  <si>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</si>
  <si>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</si>
  <si>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</si>
  <si>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</si>
  <si>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</si>
  <si>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</si>
  <si>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</si>
  <si>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</si>
  <si>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</si>
  <si>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</si>
  <si>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</si>
  <si>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</si>
  <si>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</si>
  <si>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</si>
  <si>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</si>
  <si>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</si>
  <si>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</si>
  <si>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</si>
  <si>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</si>
  <si>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</si>
  <si>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</si>
  <si>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</si>
  <si>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</si>
  <si>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</si>
  <si>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</si>
  <si>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</si>
  <si>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</si>
  <si>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</si>
  <si>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</si>
  <si>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</si>
  <si>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</si>
  <si>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</si>
  <si>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</si>
  <si>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</si>
  <si>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</si>
  <si>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</si>
  <si>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</si>
  <si>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</si>
  <si>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</si>
  <si>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</si>
  <si>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</si>
  <si>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</si>
  <si>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</si>
  <si>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</si>
  <si>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</si>
  <si>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</si>
  <si>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</si>
  <si>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</si>
  <si>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</si>
  <si>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</si>
  <si>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</si>
  <si>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</si>
  <si>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</si>
  <si>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</si>
  <si>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</si>
  <si>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</si>
  <si>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</si>
  <si>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</si>
  <si>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</si>
  <si>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</si>
  <si>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</si>
  <si>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</si>
  <si>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</si>
  <si>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</si>
  <si>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</si>
  <si>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</si>
  <si>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</si>
  <si>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</si>
  <si>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</si>
  <si>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</si>
  <si>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</si>
  <si>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</si>
  <si>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</si>
  <si>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</si>
  <si>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</si>
  <si>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</si>
  <si>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</si>
  <si>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</si>
  <si>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</si>
  <si>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</si>
  <si>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</si>
  <si>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</si>
  <si>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</si>
  <si>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</si>
  <si>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</si>
  <si>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</si>
  <si>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</si>
  <si>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</si>
  <si>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</si>
  <si>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</si>
  <si>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</si>
  <si>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</si>
  <si>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</si>
  <si>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</si>
  <si>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</si>
  <si>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</si>
  <si>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</si>
  <si>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>прочистка канализации</t>
  </si>
  <si>
    <t>смена труб д 20 (4мп) кв.48</t>
  </si>
  <si>
    <t>труба д 20</t>
  </si>
  <si>
    <t>4мп</t>
  </si>
  <si>
    <t>муфта 20</t>
  </si>
  <si>
    <t>2шт</t>
  </si>
  <si>
    <t>американка 20</t>
  </si>
  <si>
    <t>смена вентиля д 15 (2шт) кв.65</t>
  </si>
  <si>
    <t>смена вентиля д 20 (2шт) кв.65</t>
  </si>
  <si>
    <t>вентиль д 15</t>
  </si>
  <si>
    <t>вентиль д 20</t>
  </si>
  <si>
    <t>бочонок 20</t>
  </si>
  <si>
    <t>диск</t>
  </si>
  <si>
    <t xml:space="preserve">1шт </t>
  </si>
  <si>
    <t>тройник 20</t>
  </si>
  <si>
    <t>цанга 20</t>
  </si>
  <si>
    <t>цанга 15</t>
  </si>
  <si>
    <t>смена труб д 20 п.пр. (4мп) кв.68</t>
  </si>
  <si>
    <t>труба д 20 п.пр.</t>
  </si>
  <si>
    <t>3шт</t>
  </si>
  <si>
    <t>уголок 20</t>
  </si>
  <si>
    <t>4шт</t>
  </si>
  <si>
    <t>лампа</t>
  </si>
  <si>
    <t>смена ламп (6шт) п-д 1,5</t>
  </si>
  <si>
    <t>6шт</t>
  </si>
  <si>
    <t>дем.монт.радиатора (1шт) п-д3</t>
  </si>
  <si>
    <t>смена труб д 20 м/пл (2мп) п-д3</t>
  </si>
  <si>
    <t>смена вентиля д 15 (1шт) п-д3</t>
  </si>
  <si>
    <t>смена сгона д 20 (1шт) п-д 3</t>
  </si>
  <si>
    <t>радиатор</t>
  </si>
  <si>
    <t xml:space="preserve">пробка рад. </t>
  </si>
  <si>
    <t xml:space="preserve">труба д 20 м/пл </t>
  </si>
  <si>
    <t>2мп</t>
  </si>
  <si>
    <t>смена вентиля д 20 (1шт) п-д3</t>
  </si>
  <si>
    <t>сгон 20</t>
  </si>
  <si>
    <t>устр-во контейнерной площадки</t>
  </si>
  <si>
    <t>труба д 50х50</t>
  </si>
  <si>
    <t>20кг</t>
  </si>
  <si>
    <t>труба д 50х25</t>
  </si>
  <si>
    <t>30кг</t>
  </si>
  <si>
    <t>краска</t>
  </si>
  <si>
    <t>1кг</t>
  </si>
  <si>
    <t>электроды</t>
  </si>
  <si>
    <t>0,83кг</t>
  </si>
  <si>
    <t>профлист</t>
  </si>
  <si>
    <t>3л.</t>
  </si>
  <si>
    <t>арматура</t>
  </si>
  <si>
    <t>4,16кг</t>
  </si>
  <si>
    <t>саморезы</t>
  </si>
  <si>
    <t>50шт</t>
  </si>
  <si>
    <t>1,6шт</t>
  </si>
  <si>
    <t>труба 40х40</t>
  </si>
  <si>
    <t>4,33кг</t>
  </si>
  <si>
    <t>труба 40х20</t>
  </si>
  <si>
    <t>5,3кг</t>
  </si>
  <si>
    <t xml:space="preserve">заклепки </t>
  </si>
  <si>
    <t>1уп</t>
  </si>
  <si>
    <t>цемент</t>
  </si>
  <si>
    <t>25кг</t>
  </si>
  <si>
    <t>асфальт</t>
  </si>
  <si>
    <t>0,8т</t>
  </si>
  <si>
    <t>щебень</t>
  </si>
  <si>
    <t>0,5кг</t>
  </si>
  <si>
    <t>смена ламп (8шт) п-д 1,4</t>
  </si>
  <si>
    <t>8шт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</si>
</sst>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M80" sqref="M80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 t="s">
        <v>132</v>
      </c>
      <c r="K2" s="5" t="s">
        <v>134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2.61</v>
      </c>
      <c r="M6" s="46">
        <f>L6*160.174*1.302</f>
        <v>544.30649028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8.02</v>
      </c>
      <c r="M14" s="46">
        <f t="shared" si="0"/>
        <v>1672.54331496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387.8965792800001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31.46</v>
      </c>
      <c r="M20" s="34">
        <f>SUM(M6:M19)</f>
        <v>6560.874400080001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136</v>
      </c>
      <c r="L24" s="46">
        <v>4.83</v>
      </c>
      <c r="M24" s="33">
        <f aca="true" t="shared" si="1" ref="M24:M38">L24*160.174*1.302*1.15</f>
        <v>1158.371800866</v>
      </c>
    </row>
    <row r="25" spans="1:13" ht="12.75">
      <c r="A25" t="s">
        <v>104</v>
      </c>
      <c r="J25" s="20">
        <v>2</v>
      </c>
      <c r="K25" s="20" t="s">
        <v>137</v>
      </c>
      <c r="L25" s="46">
        <f>0.04*224.9</f>
        <v>8.996</v>
      </c>
      <c r="M25" s="33">
        <f t="shared" si="1"/>
        <v>2157.4974576792</v>
      </c>
    </row>
    <row r="26" spans="1:13" ht="12.75">
      <c r="A26" t="s">
        <v>105</v>
      </c>
      <c r="J26" s="20">
        <v>3</v>
      </c>
      <c r="K26" s="20" t="s">
        <v>143</v>
      </c>
      <c r="L26" s="25">
        <v>1.62</v>
      </c>
      <c r="M26" s="33">
        <f t="shared" si="1"/>
        <v>388.522218924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 t="s">
        <v>144</v>
      </c>
      <c r="L27" s="25">
        <v>1.62</v>
      </c>
      <c r="M27" s="33">
        <f t="shared" si="1"/>
        <v>388.522218924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153</v>
      </c>
      <c r="L28" s="25">
        <f>0.04*224.9</f>
        <v>8.996</v>
      </c>
      <c r="M28" s="33">
        <f t="shared" si="1"/>
        <v>2157.4974576792</v>
      </c>
    </row>
    <row r="29" spans="1:13" ht="12.75">
      <c r="A29" t="s">
        <v>108</v>
      </c>
      <c r="B29" s="1"/>
      <c r="C29" s="8"/>
      <c r="D29" s="8"/>
      <c r="J29" s="20">
        <v>6</v>
      </c>
      <c r="K29" s="20" t="s">
        <v>159</v>
      </c>
      <c r="L29" s="25">
        <f>0.06*7.1</f>
        <v>0.426</v>
      </c>
      <c r="M29" s="33">
        <f t="shared" si="1"/>
        <v>102.16695386519999</v>
      </c>
    </row>
    <row r="30" spans="10:13" ht="12.75">
      <c r="J30" s="20">
        <v>7</v>
      </c>
      <c r="K30" s="20" t="s">
        <v>161</v>
      </c>
      <c r="L30" s="25">
        <v>12.04</v>
      </c>
      <c r="M30" s="33">
        <f t="shared" si="1"/>
        <v>2887.535503608</v>
      </c>
    </row>
    <row r="31" spans="2:13" ht="12.75">
      <c r="B31" t="s">
        <v>0</v>
      </c>
      <c r="J31" s="20">
        <v>8</v>
      </c>
      <c r="K31" s="20" t="s">
        <v>162</v>
      </c>
      <c r="L31" s="25">
        <f>0.02*224.9</f>
        <v>4.498</v>
      </c>
      <c r="M31" s="33">
        <f t="shared" si="1"/>
        <v>1078.7487288396</v>
      </c>
    </row>
    <row r="32" spans="10:13" ht="12.75">
      <c r="J32" s="20">
        <v>9</v>
      </c>
      <c r="K32" s="20" t="s">
        <v>163</v>
      </c>
      <c r="L32" s="25">
        <v>0.81</v>
      </c>
      <c r="M32" s="33">
        <f t="shared" si="1"/>
        <v>194.261109462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 t="s">
        <v>164</v>
      </c>
      <c r="L33" s="25">
        <v>0.28</v>
      </c>
      <c r="M33" s="33">
        <f t="shared" si="1"/>
        <v>67.15198845600001</v>
      </c>
    </row>
    <row r="34" spans="1:13" ht="12.75">
      <c r="A34" t="s">
        <v>2</v>
      </c>
      <c r="E34">
        <v>929.3</v>
      </c>
      <c r="J34" s="20">
        <v>11</v>
      </c>
      <c r="K34" s="20" t="s">
        <v>169</v>
      </c>
      <c r="L34" s="25">
        <v>0.81</v>
      </c>
      <c r="M34" s="33">
        <f t="shared" si="1"/>
        <v>194.261109462</v>
      </c>
    </row>
    <row r="35" spans="1:13" ht="12.75">
      <c r="A35" t="s">
        <v>3</v>
      </c>
      <c r="J35" s="20">
        <v>12</v>
      </c>
      <c r="K35" s="20" t="s">
        <v>171</v>
      </c>
      <c r="L35" s="25">
        <v>26.92</v>
      </c>
      <c r="M35" s="33">
        <f t="shared" si="1"/>
        <v>6456.184032984001</v>
      </c>
    </row>
    <row r="36" spans="1:13" ht="12.75">
      <c r="A36" t="s">
        <v>4</v>
      </c>
      <c r="E36">
        <v>475.6</v>
      </c>
      <c r="J36" s="20">
        <v>13</v>
      </c>
      <c r="K36" s="20" t="s">
        <v>199</v>
      </c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71.846</v>
      </c>
      <c r="M39" s="34">
        <f>SUM(M24:M38)</f>
        <v>17230.720580749203</v>
      </c>
    </row>
    <row r="40" spans="1:11" ht="12.75">
      <c r="A40" s="2" t="s">
        <v>6</v>
      </c>
      <c r="F40" s="11">
        <v>165133.53</v>
      </c>
      <c r="K40" s="30" t="s">
        <v>58</v>
      </c>
    </row>
    <row r="41" spans="1:13" ht="12.75">
      <c r="A41" t="s">
        <v>7</v>
      </c>
      <c r="F41" s="5">
        <v>165083.86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0.9996992131155918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f>4*86.22</f>
        <v>344.88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165983.86</v>
      </c>
      <c r="J44" s="20">
        <v>2</v>
      </c>
      <c r="K44" s="20" t="s">
        <v>140</v>
      </c>
      <c r="L44" s="25" t="s">
        <v>141</v>
      </c>
      <c r="M44" s="46">
        <f>2*39.5</f>
        <v>79</v>
      </c>
    </row>
    <row r="45" spans="10:13" ht="12.75">
      <c r="J45" s="20">
        <v>3</v>
      </c>
      <c r="K45" s="20" t="s">
        <v>142</v>
      </c>
      <c r="L45" s="25" t="s">
        <v>141</v>
      </c>
      <c r="M45" s="25">
        <f>2*96.45</f>
        <v>192.9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141</v>
      </c>
      <c r="M46" s="25">
        <f>2*300.47</f>
        <v>600.94</v>
      </c>
    </row>
    <row r="47" spans="10:13" ht="12.75">
      <c r="J47" s="20">
        <v>5</v>
      </c>
      <c r="K47" s="20" t="s">
        <v>146</v>
      </c>
      <c r="L47" s="25" t="s">
        <v>141</v>
      </c>
      <c r="M47" s="25">
        <f>2*510</f>
        <v>1020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147</v>
      </c>
      <c r="L48" s="25" t="s">
        <v>141</v>
      </c>
      <c r="M48" s="25">
        <v>20</v>
      </c>
    </row>
    <row r="49" spans="1:13" ht="12.75">
      <c r="A49" t="s">
        <v>12</v>
      </c>
      <c r="F49" s="11">
        <f>(10328.57+2570+7396.08)*1.302</f>
        <v>26423.6343</v>
      </c>
      <c r="J49" s="20">
        <v>7</v>
      </c>
      <c r="K49" s="20" t="s">
        <v>148</v>
      </c>
      <c r="L49" s="25" t="s">
        <v>149</v>
      </c>
      <c r="M49" s="59">
        <v>29.5</v>
      </c>
    </row>
    <row r="50" spans="1:13" ht="12.75">
      <c r="A50" s="6" t="s">
        <v>15</v>
      </c>
      <c r="F50" s="5">
        <f>(2727+2727+2727)*1.302</f>
        <v>10651.662</v>
      </c>
      <c r="J50" s="20">
        <v>8</v>
      </c>
      <c r="K50" s="20" t="s">
        <v>150</v>
      </c>
      <c r="L50" s="25" t="s">
        <v>149</v>
      </c>
      <c r="M50" s="59">
        <v>40</v>
      </c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 t="s">
        <v>151</v>
      </c>
      <c r="L51" s="25" t="s">
        <v>141</v>
      </c>
      <c r="M51" s="42">
        <f>2*235.94</f>
        <v>471.88</v>
      </c>
    </row>
    <row r="52" spans="1:13" ht="12.75">
      <c r="A52" s="10" t="s">
        <v>34</v>
      </c>
      <c r="F52" s="32">
        <f>F49+F50+F51</f>
        <v>37075.2963</v>
      </c>
      <c r="J52" s="20">
        <v>10</v>
      </c>
      <c r="K52" s="50" t="s">
        <v>152</v>
      </c>
      <c r="L52" s="51" t="s">
        <v>141</v>
      </c>
      <c r="M52" s="51">
        <f>2*235.94</f>
        <v>471.88</v>
      </c>
    </row>
    <row r="53" spans="1:13" ht="12.75">
      <c r="A53" s="4" t="s">
        <v>16</v>
      </c>
      <c r="J53" s="20">
        <v>11</v>
      </c>
      <c r="K53" s="50" t="s">
        <v>154</v>
      </c>
      <c r="L53" s="51" t="s">
        <v>139</v>
      </c>
      <c r="M53" s="47">
        <f>4*102.48</f>
        <v>409.92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 t="s">
        <v>142</v>
      </c>
      <c r="L54" s="51" t="s">
        <v>155</v>
      </c>
      <c r="M54" s="47">
        <f>3*96.66</f>
        <v>289.98</v>
      </c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13</v>
      </c>
      <c r="K55" s="50" t="s">
        <v>140</v>
      </c>
      <c r="L55" s="51" t="s">
        <v>155</v>
      </c>
      <c r="M55" s="47">
        <f>3*39.5</f>
        <v>118.5</v>
      </c>
    </row>
    <row r="56" spans="1:13" ht="12.75">
      <c r="A56" s="10" t="s">
        <v>17</v>
      </c>
      <c r="B56" s="10"/>
      <c r="C56" s="10"/>
      <c r="F56" s="32">
        <f>SUM(F54:F55)</f>
        <v>464.65</v>
      </c>
      <c r="J56" s="20">
        <v>14</v>
      </c>
      <c r="K56" s="50" t="s">
        <v>156</v>
      </c>
      <c r="L56" s="51" t="s">
        <v>157</v>
      </c>
      <c r="M56" s="47">
        <f>4*4</f>
        <v>16</v>
      </c>
    </row>
    <row r="57" spans="1:13" ht="12.75">
      <c r="A57" s="4" t="s">
        <v>18</v>
      </c>
      <c r="B57" s="4"/>
      <c r="J57" s="20">
        <v>15</v>
      </c>
      <c r="K57" s="20" t="s">
        <v>158</v>
      </c>
      <c r="L57" s="25" t="s">
        <v>160</v>
      </c>
      <c r="M57" s="42">
        <f>6*11.56</f>
        <v>69.36</v>
      </c>
    </row>
    <row r="58" spans="1:13" ht="12.75">
      <c r="A58" t="s">
        <v>19</v>
      </c>
      <c r="C58" s="49">
        <v>904049</v>
      </c>
      <c r="D58">
        <v>224780.8</v>
      </c>
      <c r="E58">
        <v>3431.7</v>
      </c>
      <c r="F58" s="35">
        <f>C58/D58*E58</f>
        <v>13802.001564635413</v>
      </c>
      <c r="J58" s="20">
        <v>16</v>
      </c>
      <c r="K58" s="20" t="s">
        <v>165</v>
      </c>
      <c r="L58" s="25" t="s">
        <v>149</v>
      </c>
      <c r="M58" s="42">
        <v>7791</v>
      </c>
    </row>
    <row r="59" spans="1:13" ht="12.75">
      <c r="A59" t="s">
        <v>20</v>
      </c>
      <c r="F59" s="35">
        <f>M20</f>
        <v>6560.874400080001</v>
      </c>
      <c r="J59" s="20">
        <v>17</v>
      </c>
      <c r="K59" s="20" t="s">
        <v>166</v>
      </c>
      <c r="L59" s="25" t="s">
        <v>149</v>
      </c>
      <c r="M59" s="42">
        <v>45.55</v>
      </c>
    </row>
    <row r="60" spans="1:13" ht="12.75">
      <c r="A60" t="s">
        <v>21</v>
      </c>
      <c r="F60" s="11">
        <f>M39</f>
        <v>17230.720580749203</v>
      </c>
      <c r="J60" s="20">
        <v>18</v>
      </c>
      <c r="K60" s="20" t="s">
        <v>167</v>
      </c>
      <c r="L60" s="25" t="s">
        <v>168</v>
      </c>
      <c r="M60" s="42">
        <f>2*137</f>
        <v>274</v>
      </c>
    </row>
    <row r="61" spans="1:13" ht="12.75">
      <c r="A61" t="s">
        <v>73</v>
      </c>
      <c r="F61" s="5">
        <f>2*600*1.302</f>
        <v>1562.4</v>
      </c>
      <c r="J61" s="20">
        <v>19</v>
      </c>
      <c r="K61" s="20" t="s">
        <v>151</v>
      </c>
      <c r="L61" s="25" t="s">
        <v>141</v>
      </c>
      <c r="M61" s="42">
        <f>2*234.1</f>
        <v>468.2</v>
      </c>
    </row>
    <row r="62" spans="1:13" ht="12.75">
      <c r="A62" t="s">
        <v>22</v>
      </c>
      <c r="F62" s="5">
        <f>M86</f>
        <v>25768.649999999998</v>
      </c>
      <c r="J62" s="20">
        <v>20</v>
      </c>
      <c r="K62" s="20" t="s">
        <v>145</v>
      </c>
      <c r="L62" s="25" t="s">
        <v>149</v>
      </c>
      <c r="M62" s="42">
        <v>347</v>
      </c>
    </row>
    <row r="63" spans="1:13" ht="12.75">
      <c r="A63" t="s">
        <v>23</v>
      </c>
      <c r="F63" s="5"/>
      <c r="J63" s="20">
        <v>21</v>
      </c>
      <c r="K63" s="20" t="s">
        <v>146</v>
      </c>
      <c r="L63" s="64" t="s">
        <v>149</v>
      </c>
      <c r="M63" s="42">
        <v>510</v>
      </c>
    </row>
    <row r="64" spans="1:13" ht="12.75">
      <c r="A64" t="s">
        <v>24</v>
      </c>
      <c r="F64" s="5"/>
      <c r="J64" s="20">
        <v>22</v>
      </c>
      <c r="K64" s="20" t="s">
        <v>170</v>
      </c>
      <c r="L64" s="25" t="s">
        <v>149</v>
      </c>
      <c r="M64" s="42">
        <v>36.14</v>
      </c>
    </row>
    <row r="65" spans="2:13" ht="12.75">
      <c r="B65">
        <v>3431.7</v>
      </c>
      <c r="C65" t="s">
        <v>13</v>
      </c>
      <c r="D65" s="11">
        <v>2.17</v>
      </c>
      <c r="E65" t="s">
        <v>14</v>
      </c>
      <c r="F65" s="11">
        <f>B65*D65</f>
        <v>7446.789</v>
      </c>
      <c r="J65" s="20">
        <v>23</v>
      </c>
      <c r="K65" s="20" t="s">
        <v>172</v>
      </c>
      <c r="L65" s="25" t="s">
        <v>173</v>
      </c>
      <c r="M65" s="42">
        <v>1404.6</v>
      </c>
    </row>
    <row r="66" spans="1:13" s="49" customFormat="1" ht="12.75">
      <c r="A66" s="65" t="s">
        <v>130</v>
      </c>
      <c r="B66" s="65"/>
      <c r="C66" s="65"/>
      <c r="D66" s="66"/>
      <c r="E66" s="65"/>
      <c r="F66" s="66">
        <v>16260</v>
      </c>
      <c r="J66" s="20">
        <v>24</v>
      </c>
      <c r="K66" s="20" t="s">
        <v>174</v>
      </c>
      <c r="L66" s="25" t="s">
        <v>175</v>
      </c>
      <c r="M66" s="42">
        <v>3366</v>
      </c>
    </row>
    <row r="67" spans="1:13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  <c r="J67" s="20">
        <v>25</v>
      </c>
      <c r="K67" s="20" t="s">
        <v>176</v>
      </c>
      <c r="L67" s="25" t="s">
        <v>177</v>
      </c>
      <c r="M67" s="42">
        <v>120.93</v>
      </c>
    </row>
    <row r="68" spans="1:13" ht="12.75">
      <c r="A68" s="10" t="s">
        <v>25</v>
      </c>
      <c r="B68" s="10"/>
      <c r="C68" s="10"/>
      <c r="F68" s="32">
        <f>SUM(F58:F67)</f>
        <v>88631.43554546463</v>
      </c>
      <c r="J68" s="20">
        <v>26</v>
      </c>
      <c r="K68" s="20" t="s">
        <v>178</v>
      </c>
      <c r="L68" s="25" t="s">
        <v>179</v>
      </c>
      <c r="M68" s="42">
        <v>189.67</v>
      </c>
    </row>
    <row r="69" spans="1:13" ht="12.75">
      <c r="A69" s="4" t="s">
        <v>26</v>
      </c>
      <c r="J69" s="20">
        <v>27</v>
      </c>
      <c r="K69" s="20" t="s">
        <v>180</v>
      </c>
      <c r="L69" s="25" t="s">
        <v>181</v>
      </c>
      <c r="M69" s="42">
        <v>3448.53</v>
      </c>
    </row>
    <row r="70" spans="1:13" ht="12.75">
      <c r="A70" t="s">
        <v>27</v>
      </c>
      <c r="B70">
        <v>3431.7</v>
      </c>
      <c r="C70" t="s">
        <v>71</v>
      </c>
      <c r="D70" s="5">
        <v>0.73</v>
      </c>
      <c r="E70" t="s">
        <v>14</v>
      </c>
      <c r="F70" s="11">
        <f>B70*D70</f>
        <v>2505.1409999999996</v>
      </c>
      <c r="J70" s="20">
        <v>28</v>
      </c>
      <c r="K70" s="20" t="s">
        <v>182</v>
      </c>
      <c r="L70" s="25" t="s">
        <v>183</v>
      </c>
      <c r="M70" s="42">
        <v>212.5</v>
      </c>
    </row>
    <row r="71" spans="1:13" ht="12.75">
      <c r="A71" t="s">
        <v>28</v>
      </c>
      <c r="F71" s="5"/>
      <c r="J71" s="20">
        <v>29</v>
      </c>
      <c r="K71" s="20" t="s">
        <v>184</v>
      </c>
      <c r="L71" s="25" t="s">
        <v>185</v>
      </c>
      <c r="M71" s="42">
        <v>248</v>
      </c>
    </row>
    <row r="72" spans="1:13" ht="12.75">
      <c r="A72" s="7" t="s">
        <v>72</v>
      </c>
      <c r="F72" s="5"/>
      <c r="J72" s="20">
        <v>30</v>
      </c>
      <c r="K72" s="20" t="s">
        <v>148</v>
      </c>
      <c r="L72" s="25" t="s">
        <v>186</v>
      </c>
      <c r="M72" s="42">
        <v>49.17</v>
      </c>
    </row>
    <row r="73" spans="2:13" ht="12.75">
      <c r="B73">
        <v>3431.7</v>
      </c>
      <c r="C73" t="s">
        <v>13</v>
      </c>
      <c r="D73" s="11">
        <v>3.03</v>
      </c>
      <c r="E73" t="s">
        <v>14</v>
      </c>
      <c r="F73" s="11">
        <f>B73*D73</f>
        <v>10398.051</v>
      </c>
      <c r="J73" s="20">
        <v>31</v>
      </c>
      <c r="K73" s="20" t="s">
        <v>187</v>
      </c>
      <c r="L73" s="25" t="s">
        <v>188</v>
      </c>
      <c r="M73" s="42">
        <v>376.13</v>
      </c>
    </row>
    <row r="74" spans="1:13" ht="12.75">
      <c r="A74" s="10" t="s">
        <v>29</v>
      </c>
      <c r="F74" s="32">
        <f>F70+F73</f>
        <v>12903.192</v>
      </c>
      <c r="J74" s="20">
        <v>32</v>
      </c>
      <c r="K74" s="20" t="s">
        <v>189</v>
      </c>
      <c r="L74" s="25" t="s">
        <v>190</v>
      </c>
      <c r="M74" s="42">
        <v>906.67</v>
      </c>
    </row>
    <row r="75" spans="1:13" ht="12.75">
      <c r="A75" s="4" t="s">
        <v>30</v>
      </c>
      <c r="J75" s="20">
        <v>33</v>
      </c>
      <c r="K75" s="20" t="s">
        <v>191</v>
      </c>
      <c r="L75" s="25" t="s">
        <v>192</v>
      </c>
      <c r="M75" s="42">
        <v>112</v>
      </c>
    </row>
    <row r="76" spans="1:13" ht="12.75">
      <c r="A76" s="7" t="s">
        <v>31</v>
      </c>
      <c r="B76" s="7"/>
      <c r="C76" s="7"/>
      <c r="D76" s="7"/>
      <c r="E76" s="7"/>
      <c r="F76" s="7"/>
      <c r="J76" s="20">
        <v>34</v>
      </c>
      <c r="K76" s="20" t="s">
        <v>193</v>
      </c>
      <c r="L76" s="25" t="s">
        <v>194</v>
      </c>
      <c r="M76" s="42">
        <v>204</v>
      </c>
    </row>
    <row r="77" spans="2:13" ht="12.75">
      <c r="B77">
        <v>3431.7</v>
      </c>
      <c r="C77" t="s">
        <v>13</v>
      </c>
      <c r="D77" s="11">
        <v>7.87</v>
      </c>
      <c r="E77" t="s">
        <v>14</v>
      </c>
      <c r="F77" s="11">
        <f>B77*D77</f>
        <v>27007.479</v>
      </c>
      <c r="J77" s="20">
        <v>35</v>
      </c>
      <c r="K77" s="20" t="s">
        <v>195</v>
      </c>
      <c r="L77" s="25" t="s">
        <v>196</v>
      </c>
      <c r="M77" s="42">
        <v>583.33</v>
      </c>
    </row>
    <row r="78" spans="1:13" ht="12.75">
      <c r="A78" s="10" t="s">
        <v>32</v>
      </c>
      <c r="F78" s="32">
        <f>SUM(F77)</f>
        <v>27007.479</v>
      </c>
      <c r="J78" s="20">
        <v>36</v>
      </c>
      <c r="K78" s="20" t="s">
        <v>197</v>
      </c>
      <c r="L78" s="25" t="s">
        <v>198</v>
      </c>
      <c r="M78" s="42">
        <v>807.69</v>
      </c>
    </row>
    <row r="79" spans="1:13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  <c r="J79" s="20">
        <v>37</v>
      </c>
      <c r="K79" s="20" t="s">
        <v>158</v>
      </c>
      <c r="L79" s="25" t="s">
        <v>200</v>
      </c>
      <c r="M79" s="42">
        <f>8*11.6</f>
        <v>92.8</v>
      </c>
    </row>
    <row r="80" spans="1:13" ht="12.75">
      <c r="A80" s="1" t="s">
        <v>33</v>
      </c>
      <c r="B80" s="1"/>
      <c r="F80" s="32">
        <f>F52+F56+F68+F74+F78+F79</f>
        <v>166082.05284546464</v>
      </c>
      <c r="J80" s="20">
        <v>38</v>
      </c>
      <c r="K80" s="20"/>
      <c r="L80" s="25"/>
      <c r="M80" s="42"/>
    </row>
    <row r="81" spans="1:13" ht="12.75">
      <c r="A81" s="1" t="s">
        <v>124</v>
      </c>
      <c r="B81" s="36"/>
      <c r="C81" s="36">
        <v>0.058</v>
      </c>
      <c r="D81" s="1"/>
      <c r="E81" s="1"/>
      <c r="F81" s="32">
        <f>F80*5.8%</f>
        <v>9632.75906503695</v>
      </c>
      <c r="I81" s="7"/>
      <c r="J81" s="20">
        <v>39</v>
      </c>
      <c r="K81" s="20"/>
      <c r="L81" s="25"/>
      <c r="M81" s="42"/>
    </row>
    <row r="82" spans="1:13" ht="12.75">
      <c r="A82" s="1"/>
      <c r="B82" s="36" t="s">
        <v>127</v>
      </c>
      <c r="C82" s="36"/>
      <c r="D82" s="1"/>
      <c r="E82" s="55"/>
      <c r="F82" s="56">
        <f>3556+3556+3556</f>
        <v>10668</v>
      </c>
      <c r="I82" s="7"/>
      <c r="J82" s="20">
        <v>40</v>
      </c>
      <c r="K82" s="20"/>
      <c r="L82" s="25"/>
      <c r="M82" s="42"/>
    </row>
    <row r="83" spans="1:13" ht="12.75">
      <c r="A83" s="1"/>
      <c r="B83" s="36" t="s">
        <v>128</v>
      </c>
      <c r="C83" s="36"/>
      <c r="D83" s="1"/>
      <c r="E83" s="55"/>
      <c r="F83" s="56">
        <f>3*700.73</f>
        <v>2102.19</v>
      </c>
      <c r="I83" s="7"/>
      <c r="J83" s="20">
        <v>41</v>
      </c>
      <c r="K83" s="20"/>
      <c r="L83" s="25"/>
      <c r="M83" s="42"/>
    </row>
    <row r="84" spans="1:13" ht="12.75">
      <c r="A84" s="1"/>
      <c r="B84" s="36" t="s">
        <v>129</v>
      </c>
      <c r="C84" s="36"/>
      <c r="D84" s="1"/>
      <c r="E84" s="55"/>
      <c r="F84" s="56">
        <f>3*3139.01</f>
        <v>9417.03</v>
      </c>
      <c r="I84" s="7"/>
      <c r="J84" s="20">
        <v>42</v>
      </c>
      <c r="K84" s="20"/>
      <c r="L84" s="25"/>
      <c r="M84" s="42"/>
    </row>
    <row r="85" spans="1:13" ht="15">
      <c r="A85" s="12" t="s">
        <v>35</v>
      </c>
      <c r="B85" s="12"/>
      <c r="C85" s="12"/>
      <c r="D85" s="12"/>
      <c r="E85" s="12"/>
      <c r="F85" s="43">
        <f>F80+F81+F82+F83+F84</f>
        <v>197902.0319105016</v>
      </c>
      <c r="J85" s="20">
        <v>43</v>
      </c>
      <c r="K85" s="20"/>
      <c r="L85" s="25"/>
      <c r="M85" s="42"/>
    </row>
    <row r="86" spans="2:13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  <c r="J86" s="20"/>
      <c r="K86" s="20"/>
      <c r="L86" s="31" t="s">
        <v>65</v>
      </c>
      <c r="M86" s="28">
        <f>SUM(M43:M85)</f>
        <v>25768.649999999998</v>
      </c>
    </row>
    <row r="87" spans="1:6" ht="12.75">
      <c r="A87" s="13"/>
      <c r="B87" s="39">
        <v>44409</v>
      </c>
      <c r="C87" s="40">
        <v>-1096729</v>
      </c>
      <c r="D87" s="44">
        <f>F44</f>
        <v>165983.86</v>
      </c>
      <c r="E87" s="44">
        <f>F85</f>
        <v>197902.0319105016</v>
      </c>
      <c r="F87" s="45">
        <f>C87+D87-E87</f>
        <v>-1128647.1719105016</v>
      </c>
    </row>
    <row r="89" spans="1:6" ht="13.5" thickBot="1">
      <c r="A89" t="s">
        <v>109</v>
      </c>
      <c r="C89" s="53">
        <v>44409</v>
      </c>
      <c r="D89" s="8" t="s">
        <v>110</v>
      </c>
      <c r="E89" s="53">
        <v>44500</v>
      </c>
      <c r="F89" t="s">
        <v>111</v>
      </c>
    </row>
    <row r="90" spans="1:7" ht="13.5" thickBot="1">
      <c r="A90" t="s">
        <v>112</v>
      </c>
      <c r="F90" s="54">
        <f>E87</f>
        <v>197902.0319105016</v>
      </c>
      <c r="G90" t="s">
        <v>14</v>
      </c>
    </row>
    <row r="91" ht="12.75">
      <c r="A91" t="s">
        <v>113</v>
      </c>
    </row>
    <row r="92" spans="1:13" ht="12.75">
      <c r="A92" t="s">
        <v>114</v>
      </c>
      <c r="J92" s="49"/>
      <c r="K92" s="49"/>
      <c r="L92" s="49"/>
      <c r="M92" s="49"/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2022-02-09T06:09:21Z</dcterms:modified>
  <cp:category/>
  <cp:version/>
  <cp:contentType/>
  <cp:contentStatus/>
</cp:coreProperties>
</file>