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<sst xmlns="http://schemas.openxmlformats.org/spreadsheetml/2006/main" count="241" uniqueCount="201">
  <si>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</si>
  <si>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</si>
  <si>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</si>
  <si>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</si>
  <si>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</si>
  <si>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</si>
  <si>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</si>
  <si>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</si>
  <si>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</si>
  <si>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</si>
  <si>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</si>
  <si>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</si>
  <si>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</si>
  <si>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</si>
  <si>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</si>
  <si>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</si>
  <si>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</si>
  <si>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</si>
  <si>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</si>
  <si>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</si>
  <si>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</si>
  <si>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</si>
  <si>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</si>
  <si>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</si>
  <si>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</si>
  <si>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</si>
  <si>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</si>
  <si>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</si>
  <si>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</si>
  <si>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</si>
  <si>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</si>
  <si>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</si>
  <si>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</si>
  <si>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</si>
  <si>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</si>
  <si>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</si>
  <si>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</si>
  <si>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</si>
  <si>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</si>
  <si>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</si>
  <si>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</si>
  <si>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</si>
  <si>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</si>
  <si>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</si>
  <si>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</si>
  <si>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</si>
  <si>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</si>
  <si>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</si>
  <si>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</si>
  <si>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</si>
  <si>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</si>
  <si>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</si>
  <si>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</si>
  <si>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</si>
  <si>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</si>
  <si>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</si>
  <si>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</si>
  <si>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</si>
  <si>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</si>
  <si>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</si>
  <si>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</si>
  <si>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</si>
  <si>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</si>
  <si>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</si>
  <si>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</si>
  <si>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</si>
  <si>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</si>
  <si>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</si>
  <si>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</si>
  <si>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</si>
  <si>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</si>
  <si>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</si>
  <si>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</si>
  <si>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</si>
  <si>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</si>
  <si>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</si>
  <si>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</si>
  <si>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</si>
  <si>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</si>
  <si>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</si>
  <si>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</si>
  <si>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</si>
  <si>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</si>
  <si>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</si>
  <si>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</si>
  <si>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</si>
  <si>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</si>
  <si>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</si>
  <si>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</si>
  <si>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</si>
  <si>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</si>
  <si>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</si>
  <si>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</si>
  <si>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</si>
  <si>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</si>
  <si>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</si>
  <si>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</si>
  <si>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</si>
  <si>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</si>
  <si>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</si>
  <si>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</si>
  <si>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</si>
  <si>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</si>
  <si>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</si>
  <si>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</si>
  <si>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</si>
  <si>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</si>
  <si>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</si>
  <si>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</si>
  <si>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</si>
  <si>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</si>
  <si>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</si>
  <si>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</si>
  <si>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</si>
  <si>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</si>
  <si>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</si>
  <si>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</si>
  <si>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</si>
  <si>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</si>
  <si>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</si>
  <si>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</si>
  <si>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</si>
  <si>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</si>
  <si>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</si>
  <si>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</si>
  <si>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</si>
  <si>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</si>
  <si>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</si>
  <si>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</si>
  <si>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</si>
  <si>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</si>
  <si>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</si>
  <si>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</si>
  <si>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</si>
  <si>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</si>
  <si>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2021г.</t>
  </si>
  <si>
    <t>8,9,10</t>
  </si>
  <si>
    <t>октября</t>
  </si>
  <si>
    <t>за   август, сентябрь, октябрь  2021 г.</t>
  </si>
  <si>
    <t>ост.на 01.11</t>
  </si>
  <si>
    <t>ремонт вх.групп</t>
  </si>
  <si>
    <t>цемент</t>
  </si>
  <si>
    <t>75 кг</t>
  </si>
  <si>
    <t>уголок 50/50</t>
  </si>
  <si>
    <t>3шт</t>
  </si>
  <si>
    <t xml:space="preserve">смена ламп (9шт) </t>
  </si>
  <si>
    <t>лампа</t>
  </si>
  <si>
    <t>9шт</t>
  </si>
  <si>
    <t>прочистка канализации</t>
  </si>
  <si>
    <t>смена светильника (2шт) п-д2</t>
  </si>
  <si>
    <t>светильник</t>
  </si>
  <si>
    <t>2шт</t>
  </si>
  <si>
    <t>провод</t>
  </si>
  <si>
    <t>2мп</t>
  </si>
  <si>
    <t>спец.техника</t>
  </si>
  <si>
    <t>1час</t>
  </si>
  <si>
    <t>Тех.лифт</t>
  </si>
  <si>
    <t>смена труб д 25 (4мп) кв.60</t>
  </si>
  <si>
    <t>смена труб д 20 (2мп) кв.60</t>
  </si>
  <si>
    <t>труба д 25</t>
  </si>
  <si>
    <t>4мп</t>
  </si>
  <si>
    <t>труба д 20</t>
  </si>
  <si>
    <t>муфта комб. 25</t>
  </si>
  <si>
    <t>американка 25</t>
  </si>
  <si>
    <t>уголок 25</t>
  </si>
  <si>
    <t>4шт</t>
  </si>
  <si>
    <t>тройник 25</t>
  </si>
  <si>
    <t>муфта 25</t>
  </si>
  <si>
    <t>1шт</t>
  </si>
  <si>
    <t>уголок 20</t>
  </si>
  <si>
    <t>смена вентиля 15 (1шт) т.п.</t>
  </si>
  <si>
    <t>вентиль д 15</t>
  </si>
  <si>
    <t>бочонок 15</t>
  </si>
  <si>
    <t>ремонт эл.щита (1шт) п-д1</t>
  </si>
  <si>
    <t>АВ 100</t>
  </si>
  <si>
    <t xml:space="preserve">смена ламп (8шт) </t>
  </si>
  <si>
    <t>8шт</t>
  </si>
  <si>
    <t>устр-во контейнерной площадки</t>
  </si>
  <si>
    <t>труба д 50х50</t>
  </si>
  <si>
    <t>156кг</t>
  </si>
  <si>
    <t>труба д 50х25</t>
  </si>
  <si>
    <t>131кг</t>
  </si>
  <si>
    <t>75кг</t>
  </si>
  <si>
    <t>краска</t>
  </si>
  <si>
    <t>5кг</t>
  </si>
  <si>
    <t>электроды</t>
  </si>
  <si>
    <t>профлист</t>
  </si>
  <si>
    <t>21шт</t>
  </si>
  <si>
    <t>арматура</t>
  </si>
  <si>
    <t>6мп</t>
  </si>
  <si>
    <t>саморезы</t>
  </si>
  <si>
    <t>300шт</t>
  </si>
  <si>
    <t>100шт</t>
  </si>
  <si>
    <t>диск</t>
  </si>
  <si>
    <t>10шт</t>
  </si>
  <si>
    <t>шайба 10шт</t>
  </si>
  <si>
    <t>гайка</t>
  </si>
  <si>
    <t>болт</t>
  </si>
  <si>
    <t>бита</t>
  </si>
  <si>
    <t>асфальт</t>
  </si>
  <si>
    <t>4,38т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</si>
</sst>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9">
      <selection activeCell="F86" sqref="F86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 t="s">
        <v>136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1.72</v>
      </c>
      <c r="M6" s="46">
        <f>L6*160.174*1.302</f>
        <v>358.70006256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6">
        <f t="shared" si="0"/>
        <v>2095.8928074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3753.837864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34.37</v>
      </c>
      <c r="M20" s="33">
        <f>SUM(M6:M19)</f>
        <v>7167.744854760001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v>12.15</v>
      </c>
      <c r="M24" s="32">
        <f aca="true" t="shared" si="1" ref="M24:M36">L24*160.174*1.302*1.15</f>
        <v>2913.9166419300004</v>
      </c>
    </row>
    <row r="25" spans="1:13" ht="12.75">
      <c r="A25" t="s">
        <v>110</v>
      </c>
      <c r="J25" s="20">
        <v>2</v>
      </c>
      <c r="K25" s="20" t="s">
        <v>145</v>
      </c>
      <c r="L25" s="46">
        <f>0.09*7.1</f>
        <v>0.6389999999999999</v>
      </c>
      <c r="M25" s="32">
        <f t="shared" si="1"/>
        <v>153.25043079779996</v>
      </c>
    </row>
    <row r="26" spans="1:13" ht="12.75">
      <c r="A26" t="s">
        <v>111</v>
      </c>
      <c r="J26" s="20">
        <v>3</v>
      </c>
      <c r="K26" s="20" t="s">
        <v>148</v>
      </c>
      <c r="L26" s="46">
        <v>4.83</v>
      </c>
      <c r="M26" s="32">
        <f t="shared" si="1"/>
        <v>1158.371800866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 t="s">
        <v>149</v>
      </c>
      <c r="L27" s="25">
        <f>2*0.89</f>
        <v>1.78</v>
      </c>
      <c r="M27" s="32">
        <f t="shared" si="1"/>
        <v>426.89478375600004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148</v>
      </c>
      <c r="L28" s="46">
        <f>0.15*32.2</f>
        <v>4.83</v>
      </c>
      <c r="M28" s="32">
        <f t="shared" si="1"/>
        <v>1158.371800866</v>
      </c>
    </row>
    <row r="29" spans="10:13" ht="12.75">
      <c r="J29" s="20">
        <v>6</v>
      </c>
      <c r="K29" s="20" t="s">
        <v>157</v>
      </c>
      <c r="L29" s="46">
        <f>0.04*184.3</f>
        <v>7.372000000000001</v>
      </c>
      <c r="M29" s="32">
        <f t="shared" si="1"/>
        <v>1768.0159246344</v>
      </c>
    </row>
    <row r="30" spans="2:13" ht="12.75">
      <c r="B30" t="s">
        <v>0</v>
      </c>
      <c r="J30" s="20">
        <v>7</v>
      </c>
      <c r="K30" s="20" t="s">
        <v>158</v>
      </c>
      <c r="L30" s="46">
        <f>0.02*224.9</f>
        <v>4.498</v>
      </c>
      <c r="M30" s="32">
        <f t="shared" si="1"/>
        <v>1078.7487288396</v>
      </c>
    </row>
    <row r="31" spans="10:13" ht="12.75">
      <c r="J31" s="20">
        <v>8</v>
      </c>
      <c r="K31" s="20" t="s">
        <v>170</v>
      </c>
      <c r="L31" s="46">
        <v>0.81</v>
      </c>
      <c r="M31" s="32">
        <f t="shared" si="1"/>
        <v>194.261109462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 t="s">
        <v>173</v>
      </c>
      <c r="L32" s="46">
        <v>4.83</v>
      </c>
      <c r="M32" s="32">
        <f t="shared" si="1"/>
        <v>1158.371800866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 t="s">
        <v>175</v>
      </c>
      <c r="L33" s="46">
        <f>0.08*7.1</f>
        <v>0.568</v>
      </c>
      <c r="M33" s="32">
        <f t="shared" si="1"/>
        <v>136.2226051536</v>
      </c>
    </row>
    <row r="34" spans="1:13" ht="12.75">
      <c r="A34" t="s">
        <v>3</v>
      </c>
      <c r="J34" s="20">
        <v>11</v>
      </c>
      <c r="K34" s="20" t="s">
        <v>177</v>
      </c>
      <c r="L34" s="46">
        <v>161.5</v>
      </c>
      <c r="M34" s="32">
        <f t="shared" si="1"/>
        <v>38732.3076273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203.807</v>
      </c>
      <c r="M37" s="33">
        <f>SUM(M24:M36)</f>
        <v>48878.7332544714</v>
      </c>
    </row>
    <row r="38" ht="12.75">
      <c r="K38" s="1" t="s">
        <v>55</v>
      </c>
    </row>
    <row r="39" spans="1:13" ht="12.75">
      <c r="A39" s="2" t="s">
        <v>6</v>
      </c>
      <c r="F39" s="11">
        <v>248803.14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223034.32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0.8964288794747526</v>
      </c>
      <c r="J41" s="20">
        <v>1</v>
      </c>
      <c r="K41" s="20" t="s">
        <v>141</v>
      </c>
      <c r="L41" s="25" t="s">
        <v>142</v>
      </c>
      <c r="M41" s="25">
        <f>75*8.6</f>
        <v>645</v>
      </c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 t="s">
        <v>143</v>
      </c>
      <c r="L42" s="25" t="s">
        <v>144</v>
      </c>
      <c r="M42" s="25">
        <f>3*320</f>
        <v>960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224239.32</v>
      </c>
      <c r="J43" s="20">
        <v>3</v>
      </c>
      <c r="K43" s="20" t="s">
        <v>146</v>
      </c>
      <c r="L43" s="25" t="s">
        <v>147</v>
      </c>
      <c r="M43" s="25">
        <f>9*7.1</f>
        <v>63.9</v>
      </c>
    </row>
    <row r="44" spans="10:13" ht="12.75">
      <c r="J44" s="20">
        <v>4</v>
      </c>
      <c r="K44" s="20" t="s">
        <v>150</v>
      </c>
      <c r="L44" s="25" t="s">
        <v>151</v>
      </c>
      <c r="M44" s="25">
        <f>2*205.8</f>
        <v>411.6</v>
      </c>
    </row>
    <row r="45" spans="2:13" ht="12.75">
      <c r="B45" s="1" t="s">
        <v>10</v>
      </c>
      <c r="C45" s="1"/>
      <c r="J45" s="20">
        <v>5</v>
      </c>
      <c r="K45" s="20" t="s">
        <v>152</v>
      </c>
      <c r="L45" s="25" t="s">
        <v>153</v>
      </c>
      <c r="M45" s="25">
        <f>2*11</f>
        <v>22</v>
      </c>
    </row>
    <row r="46" spans="10:13" ht="12.75">
      <c r="J46" s="20">
        <v>6</v>
      </c>
      <c r="K46" s="20" t="s">
        <v>154</v>
      </c>
      <c r="L46" s="25" t="s">
        <v>155</v>
      </c>
      <c r="M46" s="25">
        <v>1700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159</v>
      </c>
      <c r="L47" s="25" t="s">
        <v>160</v>
      </c>
      <c r="M47" s="25">
        <f>4*145.4</f>
        <v>581.6</v>
      </c>
    </row>
    <row r="48" spans="1:13" ht="12.75">
      <c r="A48" t="s">
        <v>12</v>
      </c>
      <c r="F48" s="11">
        <f>(4559.14+3894.4+4744.04)*1.302</f>
        <v>17183.249160000003</v>
      </c>
      <c r="J48" s="20">
        <v>8</v>
      </c>
      <c r="K48" s="20" t="s">
        <v>161</v>
      </c>
      <c r="L48" s="25" t="s">
        <v>153</v>
      </c>
      <c r="M48" s="25">
        <f>2*102.48</f>
        <v>204.96</v>
      </c>
    </row>
    <row r="49" spans="1:13" ht="12.75">
      <c r="A49" s="6" t="s">
        <v>15</v>
      </c>
      <c r="F49" s="11">
        <f>(3873+3873+3873)*1.302</f>
        <v>15127.938</v>
      </c>
      <c r="J49" s="20">
        <v>9</v>
      </c>
      <c r="K49" s="20" t="s">
        <v>162</v>
      </c>
      <c r="L49" s="25" t="s">
        <v>151</v>
      </c>
      <c r="M49" s="25">
        <f>2*90.42</f>
        <v>180.84</v>
      </c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10</v>
      </c>
      <c r="K50" s="20" t="s">
        <v>163</v>
      </c>
      <c r="L50" s="25" t="s">
        <v>151</v>
      </c>
      <c r="M50" s="25">
        <f>2*141</f>
        <v>282</v>
      </c>
    </row>
    <row r="51" spans="1:13" ht="12.75">
      <c r="A51" s="4" t="s">
        <v>27</v>
      </c>
      <c r="F51" s="31">
        <f>F48+F49+F50</f>
        <v>32311.18716</v>
      </c>
      <c r="J51" s="20">
        <v>11</v>
      </c>
      <c r="K51" s="20" t="s">
        <v>164</v>
      </c>
      <c r="L51" s="25" t="s">
        <v>165</v>
      </c>
      <c r="M51" s="25">
        <f>4*6</f>
        <v>24</v>
      </c>
    </row>
    <row r="52" spans="1:13" ht="12.75">
      <c r="A52" s="4" t="s">
        <v>16</v>
      </c>
      <c r="J52" s="20">
        <v>12</v>
      </c>
      <c r="K52" s="20" t="s">
        <v>166</v>
      </c>
      <c r="L52" s="25" t="s">
        <v>151</v>
      </c>
      <c r="M52" s="25">
        <f>2*8</f>
        <v>16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 t="s">
        <v>167</v>
      </c>
      <c r="L53" s="25" t="s">
        <v>168</v>
      </c>
      <c r="M53" s="25">
        <v>4</v>
      </c>
    </row>
    <row r="54" spans="1:13" ht="12.75">
      <c r="A54" t="s">
        <v>82</v>
      </c>
      <c r="B54">
        <v>617</v>
      </c>
      <c r="C54" t="s">
        <v>13</v>
      </c>
      <c r="D54" s="5">
        <v>0.5</v>
      </c>
      <c r="E54" t="s">
        <v>14</v>
      </c>
      <c r="F54" s="11">
        <f>B54*D54</f>
        <v>308.5</v>
      </c>
      <c r="J54" s="20">
        <v>14</v>
      </c>
      <c r="K54" s="20" t="s">
        <v>169</v>
      </c>
      <c r="L54" s="25" t="s">
        <v>151</v>
      </c>
      <c r="M54" s="25">
        <v>8</v>
      </c>
    </row>
    <row r="55" spans="1:13" ht="12.75">
      <c r="A55" s="4" t="s">
        <v>17</v>
      </c>
      <c r="B55" s="10"/>
      <c r="C55" s="10"/>
      <c r="F55" s="31">
        <f>SUM(F53:F54)</f>
        <v>308.5</v>
      </c>
      <c r="J55" s="20">
        <v>15</v>
      </c>
      <c r="K55" s="20" t="s">
        <v>171</v>
      </c>
      <c r="L55" s="25" t="s">
        <v>168</v>
      </c>
      <c r="M55" s="25">
        <v>347</v>
      </c>
    </row>
    <row r="56" spans="1:13" ht="12.75">
      <c r="A56" s="4" t="s">
        <v>60</v>
      </c>
      <c r="B56" s="10"/>
      <c r="C56" s="10"/>
      <c r="F56" s="1"/>
      <c r="J56" s="20">
        <v>16</v>
      </c>
      <c r="K56" s="20" t="s">
        <v>172</v>
      </c>
      <c r="L56" s="25" t="s">
        <v>168</v>
      </c>
      <c r="M56" s="25">
        <v>8</v>
      </c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B57*D57*3</f>
        <v>37830</v>
      </c>
      <c r="J57" s="20">
        <v>17</v>
      </c>
      <c r="K57" s="20" t="s">
        <v>174</v>
      </c>
      <c r="L57" s="25" t="s">
        <v>168</v>
      </c>
      <c r="M57" s="25">
        <v>486.96</v>
      </c>
    </row>
    <row r="58" spans="1:13" ht="12.75">
      <c r="A58" s="62" t="s">
        <v>156</v>
      </c>
      <c r="B58" s="62"/>
      <c r="C58" s="62"/>
      <c r="D58" s="63"/>
      <c r="E58" s="64"/>
      <c r="F58" s="65">
        <v>8542</v>
      </c>
      <c r="J58" s="20">
        <v>18</v>
      </c>
      <c r="K58" s="20" t="s">
        <v>146</v>
      </c>
      <c r="L58" s="25" t="s">
        <v>176</v>
      </c>
      <c r="M58" s="25">
        <f>8*11.6</f>
        <v>92.8</v>
      </c>
    </row>
    <row r="59" spans="1:13" ht="12.75">
      <c r="A59" s="4" t="s">
        <v>67</v>
      </c>
      <c r="F59" s="8">
        <f>F57+F58</f>
        <v>46372</v>
      </c>
      <c r="J59" s="20">
        <v>19</v>
      </c>
      <c r="K59" s="20" t="s">
        <v>178</v>
      </c>
      <c r="L59" s="25" t="s">
        <v>179</v>
      </c>
      <c r="M59" s="25">
        <f>156*70.23</f>
        <v>10955.880000000001</v>
      </c>
    </row>
    <row r="60" spans="1:13" ht="12.75">
      <c r="A60" s="4" t="s">
        <v>61</v>
      </c>
      <c r="B60" s="4"/>
      <c r="J60" s="20">
        <v>20</v>
      </c>
      <c r="K60" s="20" t="s">
        <v>180</v>
      </c>
      <c r="L60" s="25" t="s">
        <v>181</v>
      </c>
      <c r="M60" s="25">
        <f>131*112.2</f>
        <v>14698.2</v>
      </c>
    </row>
    <row r="61" spans="1:13" ht="12.75">
      <c r="A61" t="s">
        <v>18</v>
      </c>
      <c r="C61">
        <v>904049</v>
      </c>
      <c r="D61">
        <v>224780.6</v>
      </c>
      <c r="E61">
        <v>4305.3</v>
      </c>
      <c r="F61" s="34">
        <f>C61/D61*E61</f>
        <v>17315.560861124137</v>
      </c>
      <c r="J61" s="20">
        <v>21</v>
      </c>
      <c r="K61" s="20" t="s">
        <v>141</v>
      </c>
      <c r="L61" s="25" t="s">
        <v>182</v>
      </c>
      <c r="M61" s="25">
        <f>75*8.16</f>
        <v>612</v>
      </c>
    </row>
    <row r="62" spans="1:13" ht="12.75">
      <c r="A62" t="s">
        <v>19</v>
      </c>
      <c r="F62" s="34">
        <f>M20</f>
        <v>7167.744854760001</v>
      </c>
      <c r="J62" s="20">
        <v>22</v>
      </c>
      <c r="K62" s="20" t="s">
        <v>183</v>
      </c>
      <c r="L62" s="25" t="s">
        <v>184</v>
      </c>
      <c r="M62" s="25">
        <f>5*120.93</f>
        <v>604.6500000000001</v>
      </c>
    </row>
    <row r="63" spans="1:13" ht="12.75">
      <c r="A63" t="s">
        <v>20</v>
      </c>
      <c r="F63" s="11">
        <f>M37</f>
        <v>48878.7332544714</v>
      </c>
      <c r="J63" s="20">
        <v>23</v>
      </c>
      <c r="K63" s="20" t="s">
        <v>185</v>
      </c>
      <c r="L63" s="25" t="s">
        <v>184</v>
      </c>
      <c r="M63" s="25">
        <f>5*227.6</f>
        <v>1138</v>
      </c>
    </row>
    <row r="64" spans="1:13" ht="12.75">
      <c r="A64" t="s">
        <v>74</v>
      </c>
      <c r="F64" s="5">
        <f>0*600*1.302</f>
        <v>0</v>
      </c>
      <c r="J64" s="20">
        <v>24</v>
      </c>
      <c r="K64" s="20" t="s">
        <v>186</v>
      </c>
      <c r="L64" s="25" t="s">
        <v>187</v>
      </c>
      <c r="M64" s="25">
        <f>21*1149.51</f>
        <v>24139.71</v>
      </c>
    </row>
    <row r="65" spans="1:13" ht="12.75">
      <c r="A65" t="s">
        <v>21</v>
      </c>
      <c r="F65" s="11">
        <f>M75</f>
        <v>72406.26</v>
      </c>
      <c r="J65" s="20">
        <v>25</v>
      </c>
      <c r="K65" s="20" t="s">
        <v>188</v>
      </c>
      <c r="L65" s="25" t="s">
        <v>189</v>
      </c>
      <c r="M65" s="25">
        <f>6*51</f>
        <v>306</v>
      </c>
    </row>
    <row r="66" spans="1:13" ht="12.75">
      <c r="A66" t="s">
        <v>22</v>
      </c>
      <c r="F66" s="5"/>
      <c r="J66" s="20">
        <v>26</v>
      </c>
      <c r="K66" s="20" t="s">
        <v>190</v>
      </c>
      <c r="L66" s="25" t="s">
        <v>191</v>
      </c>
      <c r="M66" s="25">
        <f>300*4.96</f>
        <v>1488</v>
      </c>
    </row>
    <row r="67" spans="1:13" ht="12.75">
      <c r="A67" t="s">
        <v>23</v>
      </c>
      <c r="F67" s="5"/>
      <c r="J67" s="20">
        <v>27</v>
      </c>
      <c r="K67" s="20" t="s">
        <v>190</v>
      </c>
      <c r="L67" s="25" t="s">
        <v>192</v>
      </c>
      <c r="M67" s="25">
        <f>100*0.73</f>
        <v>73</v>
      </c>
    </row>
    <row r="68" spans="2:13" ht="12.75">
      <c r="B68">
        <v>4305.3</v>
      </c>
      <c r="C68" t="s">
        <v>13</v>
      </c>
      <c r="D68" s="11">
        <v>2.17</v>
      </c>
      <c r="E68" t="s">
        <v>14</v>
      </c>
      <c r="F68" s="11">
        <f>B68*D68</f>
        <v>9342.501</v>
      </c>
      <c r="J68" s="20">
        <v>28</v>
      </c>
      <c r="K68" s="20" t="s">
        <v>193</v>
      </c>
      <c r="L68" s="25" t="s">
        <v>194</v>
      </c>
      <c r="M68" s="25">
        <f>10*29.5</f>
        <v>295</v>
      </c>
    </row>
    <row r="69" spans="1:13" ht="12.75">
      <c r="A69" s="53" t="s">
        <v>81</v>
      </c>
      <c r="B69" s="53"/>
      <c r="C69" s="53"/>
      <c r="D69" s="58"/>
      <c r="E69" s="53"/>
      <c r="F69" s="58">
        <v>0</v>
      </c>
      <c r="G69" s="53"/>
      <c r="J69" s="20">
        <v>29</v>
      </c>
      <c r="K69" s="20" t="s">
        <v>195</v>
      </c>
      <c r="L69" s="25" t="s">
        <v>194</v>
      </c>
      <c r="M69" s="25">
        <f>10*1.71</f>
        <v>17.1</v>
      </c>
    </row>
    <row r="70" spans="1:13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  <c r="J70" s="20">
        <v>30</v>
      </c>
      <c r="K70" s="20" t="s">
        <v>196</v>
      </c>
      <c r="L70" s="25" t="s">
        <v>194</v>
      </c>
      <c r="M70" s="25">
        <f>10*2.01</f>
        <v>20.099999999999998</v>
      </c>
    </row>
    <row r="71" spans="1:13" ht="12.75">
      <c r="A71" s="4" t="s">
        <v>64</v>
      </c>
      <c r="B71" s="10"/>
      <c r="C71" s="10"/>
      <c r="F71" s="31">
        <f>SUM(F61:F70)</f>
        <v>155110.79997035553</v>
      </c>
      <c r="J71" s="20">
        <v>31</v>
      </c>
      <c r="K71" s="20" t="s">
        <v>197</v>
      </c>
      <c r="L71" s="25" t="s">
        <v>194</v>
      </c>
      <c r="M71" s="25">
        <f>10*6.77</f>
        <v>67.69999999999999</v>
      </c>
    </row>
    <row r="72" spans="1:13" ht="12.75">
      <c r="A72" s="4" t="s">
        <v>62</v>
      </c>
      <c r="F72" s="5"/>
      <c r="J72" s="20">
        <v>32</v>
      </c>
      <c r="K72" s="20" t="s">
        <v>198</v>
      </c>
      <c r="L72" s="25" t="s">
        <v>151</v>
      </c>
      <c r="M72" s="25">
        <f>2*63.13</f>
        <v>126.26</v>
      </c>
    </row>
    <row r="73" spans="1:13" ht="12.75">
      <c r="A73" t="s">
        <v>24</v>
      </c>
      <c r="B73">
        <v>4305.3</v>
      </c>
      <c r="C73" t="s">
        <v>59</v>
      </c>
      <c r="D73" s="5">
        <v>0.73</v>
      </c>
      <c r="E73" t="s">
        <v>14</v>
      </c>
      <c r="F73" s="11">
        <f>B73*D73</f>
        <v>3142.869</v>
      </c>
      <c r="J73" s="20">
        <v>33</v>
      </c>
      <c r="K73" s="20" t="s">
        <v>199</v>
      </c>
      <c r="L73" s="25" t="s">
        <v>200</v>
      </c>
      <c r="M73" s="25">
        <f>4.38*2700</f>
        <v>11826</v>
      </c>
    </row>
    <row r="74" spans="1:13" ht="12.75">
      <c r="A74" t="s">
        <v>25</v>
      </c>
      <c r="F74" s="5"/>
      <c r="J74" s="20">
        <v>34</v>
      </c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SUM(M41:M74)</f>
        <v>72406.26</v>
      </c>
    </row>
    <row r="76" spans="2:6" ht="12.75">
      <c r="B76">
        <v>4305.3</v>
      </c>
      <c r="C76" t="s">
        <v>13</v>
      </c>
      <c r="D76" s="11">
        <v>3.03</v>
      </c>
      <c r="E76" t="s">
        <v>14</v>
      </c>
      <c r="F76" s="11">
        <f>B76*D76</f>
        <v>13045.059</v>
      </c>
    </row>
    <row r="77" spans="1:6" ht="12.75">
      <c r="A77" s="4" t="s">
        <v>63</v>
      </c>
      <c r="F77" s="31">
        <f>F73+F76</f>
        <v>16187.928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7.87</v>
      </c>
      <c r="E80" t="s">
        <v>14</v>
      </c>
      <c r="F80" s="11">
        <f>B80*D80</f>
        <v>33882.711</v>
      </c>
    </row>
    <row r="81" spans="1:9" ht="12.75">
      <c r="A81" s="4" t="s">
        <v>66</v>
      </c>
      <c r="B81" s="1"/>
      <c r="F81" s="31">
        <f>SUM(F80)</f>
        <v>33882.711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284173.1261303555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16482.04131556062</v>
      </c>
    </row>
    <row r="85" spans="1:6" ht="12.75">
      <c r="A85" s="1"/>
      <c r="B85" s="36" t="s">
        <v>131</v>
      </c>
      <c r="C85" s="36"/>
      <c r="D85" s="1"/>
      <c r="E85" s="54"/>
      <c r="F85" s="55">
        <f>6329.68+8011.16</f>
        <v>14340.84</v>
      </c>
    </row>
    <row r="86" spans="1:6" ht="12.75">
      <c r="A86" s="1"/>
      <c r="B86" s="36" t="s">
        <v>132</v>
      </c>
      <c r="C86" s="36"/>
      <c r="D86" s="1"/>
      <c r="E86" s="54"/>
      <c r="F86" s="55">
        <f>3*450.82</f>
        <v>1352.46</v>
      </c>
    </row>
    <row r="87" spans="1:6" ht="12.75">
      <c r="A87" s="1"/>
      <c r="B87" s="36" t="s">
        <v>133</v>
      </c>
      <c r="C87" s="36"/>
      <c r="D87" s="1"/>
      <c r="E87" s="54"/>
      <c r="F87" s="55">
        <f>3*2535.35</f>
        <v>7606.049999999999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323954.5174459162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44409</v>
      </c>
      <c r="C90" s="40">
        <v>92690</v>
      </c>
      <c r="D90" s="42">
        <f>F43</f>
        <v>224239.32</v>
      </c>
      <c r="E90" s="42">
        <f>F88</f>
        <v>323954.5174459162</v>
      </c>
      <c r="F90" s="43">
        <f>C90+D90-E90</f>
        <v>-7025.197445916187</v>
      </c>
    </row>
    <row r="92" spans="1:6" ht="13.5" thickBot="1">
      <c r="A92" t="s">
        <v>115</v>
      </c>
      <c r="C92" s="50">
        <v>44409</v>
      </c>
      <c r="D92" s="8" t="s">
        <v>116</v>
      </c>
      <c r="E92" s="50">
        <v>44500</v>
      </c>
      <c r="F92" t="s">
        <v>117</v>
      </c>
    </row>
    <row r="93" spans="1:7" ht="13.5" thickBot="1">
      <c r="A93" t="s">
        <v>118</v>
      </c>
      <c r="F93" s="51">
        <f>E90</f>
        <v>323954.5174459162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2022-02-09T07:30:26Z</dcterms:modified>
  <cp:category/>
  <cp:version/>
  <cp:contentType/>
  <cp:contentStatus/>
</cp:coreProperties>
</file>