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<sst xmlns="http://schemas.openxmlformats.org/spreadsheetml/2006/main" count="286" uniqueCount="207">
  <si>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</si>
  <si>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</si>
  <si>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</si>
  <si>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</si>
  <si>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</si>
  <si>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</si>
  <si>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</si>
  <si>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</si>
  <si>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</si>
  <si>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</si>
  <si>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</si>
  <si>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</si>
  <si>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</si>
  <si>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</si>
  <si>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</si>
  <si>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</si>
  <si>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</si>
  <si>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</si>
  <si>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</si>
  <si>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</si>
  <si>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</si>
  <si>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</si>
  <si>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</si>
  <si>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</si>
  <si>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</si>
  <si>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</si>
  <si>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</si>
  <si>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</si>
  <si>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</si>
  <si>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</si>
  <si>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</si>
  <si>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</si>
  <si>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</si>
  <si>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</si>
  <si>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</si>
  <si>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</si>
  <si>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</si>
  <si>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</si>
  <si>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</si>
  <si>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</si>
  <si>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</si>
  <si>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</si>
  <si>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</si>
  <si>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</si>
  <si>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</si>
  <si>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</si>
  <si>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</si>
  <si>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</si>
  <si>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</si>
  <si>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</si>
  <si>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</si>
  <si>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</si>
  <si>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</si>
  <si>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</si>
  <si>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</si>
  <si>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</si>
  <si>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</si>
  <si>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</si>
  <si>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</si>
  <si>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</si>
  <si>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</si>
  <si>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</si>
  <si>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</si>
  <si>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</si>
  <si>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</si>
  <si>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</si>
  <si>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</si>
  <si>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</si>
  <si>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</si>
  <si>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</si>
  <si>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</si>
  <si>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</si>
  <si>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</si>
  <si>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</si>
  <si>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</si>
  <si>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</si>
  <si>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</si>
  <si>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</si>
  <si>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</si>
  <si>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</si>
  <si>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</si>
  <si>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</si>
  <si>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</si>
  <si>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</si>
  <si>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</si>
  <si>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</si>
  <si>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</si>
  <si>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</si>
  <si>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</si>
  <si>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</si>
  <si>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</si>
  <si>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</si>
  <si>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</si>
  <si>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</si>
  <si>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</si>
  <si>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</si>
  <si>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</si>
  <si>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</si>
  <si>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</si>
  <si>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</si>
  <si>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</si>
  <si>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</si>
  <si>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</si>
  <si>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</si>
  <si>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</si>
  <si>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</si>
  <si>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</si>
  <si>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</si>
  <si>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</si>
  <si>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</si>
  <si>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</si>
  <si>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</si>
  <si>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</si>
  <si>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</si>
  <si>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</si>
  <si>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</si>
  <si>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</si>
  <si>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</si>
  <si>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</si>
  <si>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</si>
  <si>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</si>
  <si>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</si>
  <si>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</si>
  <si>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</si>
  <si>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</si>
  <si>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</si>
  <si>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</si>
  <si>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</si>
  <si>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</si>
  <si>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</si>
  <si>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</si>
  <si>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</si>
  <si>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2021г.</t>
  </si>
  <si>
    <t>8,9,10</t>
  </si>
  <si>
    <t>октября</t>
  </si>
  <si>
    <t>за   август, сентябрь, октябрь  2021 г.</t>
  </si>
  <si>
    <t>ост.на 01.11</t>
  </si>
  <si>
    <t xml:space="preserve">смена труб  25 п.пр. (1мп) </t>
  </si>
  <si>
    <t>труба д 25</t>
  </si>
  <si>
    <t>1шт</t>
  </si>
  <si>
    <t>муфта 25</t>
  </si>
  <si>
    <t>американка 25</t>
  </si>
  <si>
    <t>смена ламп (4 шт) п-д 1,2</t>
  </si>
  <si>
    <t>лампа</t>
  </si>
  <si>
    <t>4шт</t>
  </si>
  <si>
    <t>изготовление табличек</t>
  </si>
  <si>
    <t>смена ламп (1 шт) п-д 2</t>
  </si>
  <si>
    <t xml:space="preserve">смена труб д 50 пвх (3мп) </t>
  </si>
  <si>
    <t xml:space="preserve">труба д 50 пвх </t>
  </si>
  <si>
    <t>3мп</t>
  </si>
  <si>
    <t>тройник косой</t>
  </si>
  <si>
    <t>2шт</t>
  </si>
  <si>
    <t>уголок 45</t>
  </si>
  <si>
    <t>уголок 90</t>
  </si>
  <si>
    <t xml:space="preserve">смена труб д 32 п.пр. (4мп) </t>
  </si>
  <si>
    <t>труба д 32 п.пр</t>
  </si>
  <si>
    <t>4мп</t>
  </si>
  <si>
    <t>уголок 32</t>
  </si>
  <si>
    <t>уголок 33</t>
  </si>
  <si>
    <t xml:space="preserve">смена труб д 25 п.пр. (2мп) </t>
  </si>
  <si>
    <t>вентиль д 20</t>
  </si>
  <si>
    <t>труба 25 п.пр.</t>
  </si>
  <si>
    <t>2мп</t>
  </si>
  <si>
    <t xml:space="preserve">смена вентиля д 15 (1шт) </t>
  </si>
  <si>
    <t xml:space="preserve">смена вентиля д 20 (2шт) </t>
  </si>
  <si>
    <t>вентиль д 15</t>
  </si>
  <si>
    <t>тройник 20</t>
  </si>
  <si>
    <t>муфта 20</t>
  </si>
  <si>
    <t>3шт</t>
  </si>
  <si>
    <t xml:space="preserve">смена труб д 20 п.пр. (2мп) </t>
  </si>
  <si>
    <t>труба д 20 п.пр.</t>
  </si>
  <si>
    <t xml:space="preserve">смена вентиль д 15 (1шт) </t>
  </si>
  <si>
    <t>смена труб д 20 п.пр (2мп)</t>
  </si>
  <si>
    <t>смена труб д 76 (12мп) подвал</t>
  </si>
  <si>
    <t>труба д 76</t>
  </si>
  <si>
    <t>85,2кг</t>
  </si>
  <si>
    <t>электроды</t>
  </si>
  <si>
    <t>4кг</t>
  </si>
  <si>
    <t>отвод 76</t>
  </si>
  <si>
    <t>диск</t>
  </si>
  <si>
    <t>устр-во врезки (1шт) подв.</t>
  </si>
  <si>
    <t>смена вентиль д 20 (1шт) подв.</t>
  </si>
  <si>
    <t>смена вентиль д 15 (2шт) подв.</t>
  </si>
  <si>
    <t>врезка 15</t>
  </si>
  <si>
    <t>тройник 15</t>
  </si>
  <si>
    <t xml:space="preserve">смена труб д 76 (20мп) </t>
  </si>
  <si>
    <t xml:space="preserve">смена труб д 20 (6мп) </t>
  </si>
  <si>
    <t>142кг</t>
  </si>
  <si>
    <t>6мп</t>
  </si>
  <si>
    <t>отвод 100</t>
  </si>
  <si>
    <t xml:space="preserve">арматура </t>
  </si>
  <si>
    <t xml:space="preserve">уст-ка хомута (1шт) </t>
  </si>
  <si>
    <t>хомут</t>
  </si>
  <si>
    <t>смена труб д 32 (4мп) чердак</t>
  </si>
  <si>
    <t>труба д 32 п.пр.</t>
  </si>
  <si>
    <t>устр-во контейнерной площадки</t>
  </si>
  <si>
    <t>цемент</t>
  </si>
  <si>
    <t>75кг</t>
  </si>
  <si>
    <t>труба 40х25</t>
  </si>
  <si>
    <t>4,6мп</t>
  </si>
  <si>
    <t>труба 40х20</t>
  </si>
  <si>
    <t>10мп</t>
  </si>
  <si>
    <t>3кг</t>
  </si>
  <si>
    <t>пруток</t>
  </si>
  <si>
    <t>профлист</t>
  </si>
  <si>
    <t>севенир</t>
  </si>
  <si>
    <t>25кг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</si>
</sst>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3">
      <selection activeCell="F84" sqref="F84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 t="s">
        <v>133</v>
      </c>
      <c r="K2" s="5" t="s">
        <v>135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4.11</v>
      </c>
      <c r="M6" s="48">
        <f>L6*160.174*1.302</f>
        <v>857.1263122800001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1564.09911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18.42</v>
      </c>
      <c r="M20" s="34">
        <f>SUM(M6:M19)</f>
        <v>3841.427414160001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137</v>
      </c>
      <c r="L24" s="53">
        <v>1.84</v>
      </c>
      <c r="M24" s="33">
        <f>L24*160.174*1.302*1.15</f>
        <v>441.284495568</v>
      </c>
    </row>
    <row r="25" spans="1:13" ht="12.75">
      <c r="A25" t="s">
        <v>113</v>
      </c>
      <c r="J25" s="35">
        <v>2</v>
      </c>
      <c r="K25" s="36" t="s">
        <v>142</v>
      </c>
      <c r="L25" s="53">
        <v>0.28</v>
      </c>
      <c r="M25" s="33">
        <f aca="true" t="shared" si="1" ref="M25:M44">L25*160.174*1.302*1.15</f>
        <v>67.15198845600001</v>
      </c>
    </row>
    <row r="26" spans="1:13" ht="12.75">
      <c r="A26" t="s">
        <v>114</v>
      </c>
      <c r="J26" s="35">
        <v>3</v>
      </c>
      <c r="K26" s="36" t="s">
        <v>146</v>
      </c>
      <c r="L26" s="53">
        <v>0.071</v>
      </c>
      <c r="M26" s="33">
        <f t="shared" si="1"/>
        <v>17.0278256442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 t="s">
        <v>147</v>
      </c>
      <c r="L27" s="53">
        <f>0.03*133.04</f>
        <v>3.9911999999999996</v>
      </c>
      <c r="M27" s="33">
        <f t="shared" si="1"/>
        <v>957.2036297342398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154</v>
      </c>
      <c r="L28" s="23">
        <f>0.04*156.46</f>
        <v>6.258400000000001</v>
      </c>
      <c r="M28" s="33">
        <f t="shared" si="1"/>
        <v>1500.9428734036803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164</v>
      </c>
      <c r="L29" s="23">
        <v>1.62</v>
      </c>
      <c r="M29" s="33">
        <f t="shared" si="1"/>
        <v>388.522218924</v>
      </c>
    </row>
    <row r="30" spans="10:13" ht="12.75">
      <c r="J30" s="35">
        <v>7</v>
      </c>
      <c r="K30" s="36" t="s">
        <v>159</v>
      </c>
      <c r="L30" s="23">
        <f>0.02*184.3</f>
        <v>3.6860000000000004</v>
      </c>
      <c r="M30" s="33">
        <f t="shared" si="1"/>
        <v>884.0079623172</v>
      </c>
    </row>
    <row r="31" spans="2:13" ht="12.75">
      <c r="B31" t="s">
        <v>0</v>
      </c>
      <c r="J31" s="35">
        <v>8</v>
      </c>
      <c r="K31" s="36" t="s">
        <v>163</v>
      </c>
      <c r="L31" s="23">
        <v>0.81</v>
      </c>
      <c r="M31" s="33">
        <f t="shared" si="1"/>
        <v>194.261109462</v>
      </c>
    </row>
    <row r="32" spans="10:13" ht="12.75">
      <c r="J32" s="35">
        <v>9</v>
      </c>
      <c r="K32" s="36" t="s">
        <v>169</v>
      </c>
      <c r="L32" s="23">
        <f>0.02*224.9</f>
        <v>4.498</v>
      </c>
      <c r="M32" s="33">
        <f t="shared" si="1"/>
        <v>1078.7487288396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 t="s">
        <v>171</v>
      </c>
      <c r="L33" s="23">
        <v>0.81</v>
      </c>
      <c r="M33" s="33">
        <f t="shared" si="1"/>
        <v>194.261109462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 t="s">
        <v>172</v>
      </c>
      <c r="L34" s="23">
        <f>0.02*224.9</f>
        <v>4.498</v>
      </c>
      <c r="M34" s="33">
        <f t="shared" si="1"/>
        <v>1078.7487288396</v>
      </c>
    </row>
    <row r="35" spans="1:13" ht="12.75">
      <c r="A35" t="s">
        <v>3</v>
      </c>
      <c r="J35" s="35">
        <v>12</v>
      </c>
      <c r="K35" s="36" t="s">
        <v>173</v>
      </c>
      <c r="L35" s="23">
        <f>0.12*174.8</f>
        <v>20.976</v>
      </c>
      <c r="M35" s="33">
        <f t="shared" si="1"/>
        <v>5030.6432494752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 t="s">
        <v>182</v>
      </c>
      <c r="L36" s="23">
        <f>2*0.81</f>
        <v>1.62</v>
      </c>
      <c r="M36" s="33">
        <f t="shared" si="1"/>
        <v>388.522218924</v>
      </c>
    </row>
    <row r="37" spans="10:13" ht="12.75">
      <c r="J37" s="35">
        <v>14</v>
      </c>
      <c r="K37" s="36" t="s">
        <v>181</v>
      </c>
      <c r="L37" s="23">
        <v>0.81</v>
      </c>
      <c r="M37" s="33">
        <f t="shared" si="1"/>
        <v>194.261109462</v>
      </c>
    </row>
    <row r="38" spans="2:13" ht="12.75">
      <c r="B38" s="1" t="s">
        <v>5</v>
      </c>
      <c r="C38" s="1"/>
      <c r="J38" s="35">
        <v>15</v>
      </c>
      <c r="K38" s="36" t="s">
        <v>180</v>
      </c>
      <c r="L38" s="23">
        <v>4.46</v>
      </c>
      <c r="M38" s="33">
        <f t="shared" si="1"/>
        <v>1069.6352446919998</v>
      </c>
    </row>
    <row r="39" spans="10:13" ht="12.75">
      <c r="J39" s="35">
        <v>16</v>
      </c>
      <c r="K39" s="36" t="s">
        <v>185</v>
      </c>
      <c r="L39" s="23">
        <f>0.2*174.8</f>
        <v>34.96</v>
      </c>
      <c r="M39" s="33">
        <f t="shared" si="1"/>
        <v>8384.405415792002</v>
      </c>
    </row>
    <row r="40" spans="1:13" ht="12.75">
      <c r="A40" s="2" t="s">
        <v>6</v>
      </c>
      <c r="F40" s="11">
        <v>156460.29</v>
      </c>
      <c r="J40" s="35">
        <v>17</v>
      </c>
      <c r="K40" s="36" t="s">
        <v>186</v>
      </c>
      <c r="L40" s="23">
        <f>0.06*224.9</f>
        <v>13.494</v>
      </c>
      <c r="M40" s="33">
        <f t="shared" si="1"/>
        <v>3236.2461865187997</v>
      </c>
    </row>
    <row r="41" spans="1:13" ht="12.75">
      <c r="A41" t="s">
        <v>7</v>
      </c>
      <c r="F41" s="5">
        <v>153196.08</v>
      </c>
      <c r="J41" s="35">
        <v>18</v>
      </c>
      <c r="K41" s="36" t="s">
        <v>191</v>
      </c>
      <c r="L41" s="23">
        <v>2</v>
      </c>
      <c r="M41" s="33">
        <f t="shared" si="1"/>
        <v>479.65706040000003</v>
      </c>
    </row>
    <row r="42" spans="2:13" ht="12.75">
      <c r="B42" t="s">
        <v>8</v>
      </c>
      <c r="F42" s="9">
        <f>F41/F40</f>
        <v>0.9791371344128276</v>
      </c>
      <c r="J42" s="35">
        <v>19</v>
      </c>
      <c r="K42" s="36" t="s">
        <v>193</v>
      </c>
      <c r="L42" s="23">
        <f>0.04*156.46</f>
        <v>6.258400000000001</v>
      </c>
      <c r="M42" s="33">
        <f t="shared" si="1"/>
        <v>1500.9428734036803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35">
        <v>20</v>
      </c>
      <c r="K43" s="36" t="s">
        <v>195</v>
      </c>
      <c r="L43" s="23">
        <v>161.5</v>
      </c>
      <c r="M43" s="33">
        <f t="shared" si="1"/>
        <v>38732.3076273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166918.61099999998</v>
      </c>
      <c r="J44" s="35">
        <v>21</v>
      </c>
      <c r="K44" s="36" t="s">
        <v>146</v>
      </c>
      <c r="L44" s="23">
        <v>0.07</v>
      </c>
      <c r="M44" s="33">
        <f t="shared" si="1"/>
        <v>16.787997114000003</v>
      </c>
    </row>
    <row r="45" spans="10:13" ht="12.75">
      <c r="J45" s="20"/>
      <c r="K45" s="30" t="s">
        <v>56</v>
      </c>
      <c r="L45" s="34">
        <f>SUM(L24:L44)</f>
        <v>274.511</v>
      </c>
      <c r="M45" s="34">
        <f>SUM(M24:M44)</f>
        <v>65835.56965373221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(8685+7956+10956)*1.302</f>
        <v>35931.294</v>
      </c>
      <c r="J49" s="20">
        <v>1</v>
      </c>
      <c r="K49" s="20" t="s">
        <v>138</v>
      </c>
      <c r="L49" s="25" t="s">
        <v>139</v>
      </c>
      <c r="M49" s="25">
        <v>145</v>
      </c>
    </row>
    <row r="50" spans="1:13" ht="12.75">
      <c r="A50" s="6" t="s">
        <v>15</v>
      </c>
      <c r="F50" s="11">
        <f>(2182+2182+2182)*1.302</f>
        <v>8522.892</v>
      </c>
      <c r="J50" s="20">
        <v>2</v>
      </c>
      <c r="K50" s="20" t="s">
        <v>140</v>
      </c>
      <c r="L50" s="25" t="s">
        <v>139</v>
      </c>
      <c r="M50" s="25">
        <v>67</v>
      </c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3</v>
      </c>
      <c r="K51" s="20" t="s">
        <v>141</v>
      </c>
      <c r="L51" s="25" t="s">
        <v>139</v>
      </c>
      <c r="M51" s="25">
        <v>141</v>
      </c>
    </row>
    <row r="52" spans="1:13" ht="12.75">
      <c r="A52" s="4" t="s">
        <v>74</v>
      </c>
      <c r="F52" s="32">
        <f>F49+F50+F51</f>
        <v>44454.186</v>
      </c>
      <c r="J52" s="20">
        <v>4</v>
      </c>
      <c r="K52" s="20" t="s">
        <v>143</v>
      </c>
      <c r="L52" s="25" t="s">
        <v>144</v>
      </c>
      <c r="M52" s="25">
        <f>4*11.6</f>
        <v>46.4</v>
      </c>
    </row>
    <row r="53" spans="1:13" ht="12.75">
      <c r="A53" s="4" t="s">
        <v>16</v>
      </c>
      <c r="F53" t="s">
        <v>73</v>
      </c>
      <c r="J53" s="20">
        <v>5</v>
      </c>
      <c r="K53" s="20" t="s">
        <v>145</v>
      </c>
      <c r="L53" s="25"/>
      <c r="M53" s="25">
        <v>300</v>
      </c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 t="s">
        <v>143</v>
      </c>
      <c r="L54" s="25" t="s">
        <v>139</v>
      </c>
      <c r="M54" s="25">
        <v>11.56</v>
      </c>
    </row>
    <row r="55" spans="1:13" ht="12.75">
      <c r="A55" t="s">
        <v>80</v>
      </c>
      <c r="B55">
        <v>1239.4</v>
      </c>
      <c r="C55" t="s">
        <v>13</v>
      </c>
      <c r="D55" s="5">
        <v>0.5</v>
      </c>
      <c r="E55" t="s">
        <v>14</v>
      </c>
      <c r="F55" s="11">
        <f>B55*D55</f>
        <v>619.7</v>
      </c>
      <c r="J55" s="20">
        <v>7</v>
      </c>
      <c r="K55" s="20" t="s">
        <v>148</v>
      </c>
      <c r="L55" s="25" t="s">
        <v>149</v>
      </c>
      <c r="M55" s="25">
        <f>3*125.54</f>
        <v>376.62</v>
      </c>
    </row>
    <row r="56" spans="1:13" ht="12.75">
      <c r="A56" s="4" t="s">
        <v>17</v>
      </c>
      <c r="B56" s="10"/>
      <c r="C56" s="10"/>
      <c r="F56" s="32">
        <f>SUM(F54:F55)</f>
        <v>619.7</v>
      </c>
      <c r="J56" s="20">
        <v>8</v>
      </c>
      <c r="K56" s="20" t="s">
        <v>150</v>
      </c>
      <c r="L56" s="25" t="s">
        <v>151</v>
      </c>
      <c r="M56" s="25">
        <f>2*64.42</f>
        <v>128.84</v>
      </c>
    </row>
    <row r="57" spans="1:13" ht="12.75">
      <c r="A57" s="4" t="s">
        <v>18</v>
      </c>
      <c r="B57" s="4"/>
      <c r="J57" s="20">
        <v>9</v>
      </c>
      <c r="K57" s="57" t="s">
        <v>152</v>
      </c>
      <c r="L57" s="25" t="s">
        <v>151</v>
      </c>
      <c r="M57" s="25">
        <f>2*6</f>
        <v>12</v>
      </c>
    </row>
    <row r="58" spans="1:13" ht="12.75">
      <c r="A58" t="s">
        <v>19</v>
      </c>
      <c r="C58" s="49">
        <v>904049</v>
      </c>
      <c r="D58">
        <v>224780.8</v>
      </c>
      <c r="E58">
        <v>3654.2</v>
      </c>
      <c r="F58" s="37">
        <f>C58/D58*E58</f>
        <v>14696.877383655543</v>
      </c>
      <c r="J58" s="20">
        <v>10</v>
      </c>
      <c r="K58" s="20" t="s">
        <v>153</v>
      </c>
      <c r="L58" s="25" t="s">
        <v>151</v>
      </c>
      <c r="M58" s="25">
        <f>2*6.68</f>
        <v>13.36</v>
      </c>
    </row>
    <row r="59" spans="1:13" ht="14.25" customHeight="1">
      <c r="A59" t="s">
        <v>20</v>
      </c>
      <c r="F59" s="37">
        <f>M20</f>
        <v>3841.427414160001</v>
      </c>
      <c r="J59" s="20">
        <v>11</v>
      </c>
      <c r="K59" s="20" t="s">
        <v>155</v>
      </c>
      <c r="L59" s="25" t="s">
        <v>156</v>
      </c>
      <c r="M59" s="25">
        <f>4*237.6</f>
        <v>950.4</v>
      </c>
    </row>
    <row r="60" spans="1:13" ht="12.75">
      <c r="A60" t="s">
        <v>21</v>
      </c>
      <c r="F60" s="11">
        <f>M45</f>
        <v>65835.56965373221</v>
      </c>
      <c r="J60" s="20">
        <v>12</v>
      </c>
      <c r="K60" s="20" t="s">
        <v>157</v>
      </c>
      <c r="L60" s="25" t="s">
        <v>151</v>
      </c>
      <c r="M60" s="25">
        <f>2*12</f>
        <v>24</v>
      </c>
    </row>
    <row r="61" spans="1:13" ht="12.75">
      <c r="A61" t="s">
        <v>70</v>
      </c>
      <c r="F61" s="5">
        <f>1*600*1.302</f>
        <v>781.2</v>
      </c>
      <c r="J61" s="20">
        <v>13</v>
      </c>
      <c r="K61" s="20" t="s">
        <v>158</v>
      </c>
      <c r="L61" s="25" t="s">
        <v>151</v>
      </c>
      <c r="M61" s="25">
        <v>22</v>
      </c>
    </row>
    <row r="62" spans="1:13" ht="12.75">
      <c r="A62" t="s">
        <v>22</v>
      </c>
      <c r="F62" s="5">
        <f>M105</f>
        <v>37508.123999999996</v>
      </c>
      <c r="J62" s="20">
        <v>14</v>
      </c>
      <c r="K62" s="20" t="s">
        <v>160</v>
      </c>
      <c r="L62" s="25" t="s">
        <v>151</v>
      </c>
      <c r="M62" s="25">
        <f>2*510</f>
        <v>1020</v>
      </c>
    </row>
    <row r="63" spans="1:13" ht="12.75">
      <c r="A63" t="s">
        <v>23</v>
      </c>
      <c r="F63" s="5"/>
      <c r="J63" s="20">
        <v>15</v>
      </c>
      <c r="K63" s="20" t="s">
        <v>161</v>
      </c>
      <c r="L63" s="25" t="s">
        <v>162</v>
      </c>
      <c r="M63" s="25">
        <f>2*145.4</f>
        <v>290.8</v>
      </c>
    </row>
    <row r="64" spans="1:13" ht="12.75">
      <c r="A64" t="s">
        <v>24</v>
      </c>
      <c r="F64" s="5"/>
      <c r="J64" s="20">
        <v>16</v>
      </c>
      <c r="K64" s="20" t="s">
        <v>165</v>
      </c>
      <c r="L64" s="25" t="s">
        <v>139</v>
      </c>
      <c r="M64" s="25">
        <v>347</v>
      </c>
    </row>
    <row r="65" spans="2:13" ht="12.75">
      <c r="B65">
        <f>E33</f>
        <v>3656</v>
      </c>
      <c r="C65" t="s">
        <v>13</v>
      </c>
      <c r="D65" s="11">
        <v>2.17</v>
      </c>
      <c r="E65" t="s">
        <v>14</v>
      </c>
      <c r="F65" s="11">
        <f>B65*D65</f>
        <v>7933.5199999999995</v>
      </c>
      <c r="J65" s="20">
        <v>17</v>
      </c>
      <c r="K65" s="20" t="s">
        <v>166</v>
      </c>
      <c r="L65" s="25" t="s">
        <v>151</v>
      </c>
      <c r="M65" s="25">
        <f>2*6</f>
        <v>12</v>
      </c>
    </row>
    <row r="66" spans="1:13" ht="12.75">
      <c r="A66" s="58" t="s">
        <v>76</v>
      </c>
      <c r="B66" s="58"/>
      <c r="C66" s="58"/>
      <c r="D66" s="59"/>
      <c r="E66" s="58"/>
      <c r="F66" s="59">
        <v>0</v>
      </c>
      <c r="J66" s="20">
        <v>18</v>
      </c>
      <c r="K66" s="20" t="s">
        <v>167</v>
      </c>
      <c r="L66" s="25" t="s">
        <v>168</v>
      </c>
      <c r="M66" s="25">
        <f>3*39.5</f>
        <v>118.5</v>
      </c>
    </row>
    <row r="67" spans="1:13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  <c r="J67" s="20">
        <v>19</v>
      </c>
      <c r="K67" s="20" t="s">
        <v>165</v>
      </c>
      <c r="L67" s="25" t="s">
        <v>139</v>
      </c>
      <c r="M67" s="25">
        <f>347</f>
        <v>347</v>
      </c>
    </row>
    <row r="68" spans="1:13" ht="12.75">
      <c r="A68" s="4" t="s">
        <v>25</v>
      </c>
      <c r="B68" s="10"/>
      <c r="C68" s="10"/>
      <c r="F68" s="32">
        <f>SUM(F58:F67)</f>
        <v>130596.71845154774</v>
      </c>
      <c r="J68" s="20">
        <v>20</v>
      </c>
      <c r="K68" s="20" t="s">
        <v>166</v>
      </c>
      <c r="L68" s="25" t="s">
        <v>151</v>
      </c>
      <c r="M68" s="25">
        <v>12</v>
      </c>
    </row>
    <row r="69" spans="1:13" ht="12.75">
      <c r="A69" s="4" t="s">
        <v>26</v>
      </c>
      <c r="J69" s="20">
        <v>21</v>
      </c>
      <c r="K69" s="20" t="s">
        <v>167</v>
      </c>
      <c r="L69" s="25" t="s">
        <v>168</v>
      </c>
      <c r="M69" s="25">
        <f>3*39.5</f>
        <v>118.5</v>
      </c>
    </row>
    <row r="70" spans="1:13" ht="12.75">
      <c r="A70" t="s">
        <v>27</v>
      </c>
      <c r="B70">
        <f>E33</f>
        <v>3656</v>
      </c>
      <c r="C70" t="s">
        <v>64</v>
      </c>
      <c r="D70" s="5">
        <v>0.73</v>
      </c>
      <c r="E70" t="s">
        <v>14</v>
      </c>
      <c r="F70" s="11">
        <f>B70*D70</f>
        <v>2668.88</v>
      </c>
      <c r="J70" s="20">
        <v>22</v>
      </c>
      <c r="K70" s="20" t="s">
        <v>170</v>
      </c>
      <c r="L70" s="25" t="s">
        <v>162</v>
      </c>
      <c r="M70" s="25">
        <f>2*102.48</f>
        <v>204.96</v>
      </c>
    </row>
    <row r="71" spans="1:13" ht="12.75">
      <c r="A71" t="s">
        <v>28</v>
      </c>
      <c r="F71" s="5"/>
      <c r="J71" s="20">
        <v>23</v>
      </c>
      <c r="K71" s="20" t="s">
        <v>165</v>
      </c>
      <c r="L71" s="25" t="s">
        <v>139</v>
      </c>
      <c r="M71" s="25">
        <v>347</v>
      </c>
    </row>
    <row r="72" spans="1:13" ht="12.75">
      <c r="A72" s="7" t="s">
        <v>71</v>
      </c>
      <c r="F72" s="5"/>
      <c r="J72" s="20">
        <v>24</v>
      </c>
      <c r="K72" s="20" t="s">
        <v>170</v>
      </c>
      <c r="L72" s="25" t="s">
        <v>162</v>
      </c>
      <c r="M72" s="25">
        <f>2*102.48</f>
        <v>204.96</v>
      </c>
    </row>
    <row r="73" spans="2:13" ht="12.75">
      <c r="B73">
        <f>E33</f>
        <v>3656</v>
      </c>
      <c r="C73" t="s">
        <v>13</v>
      </c>
      <c r="D73" s="11">
        <v>3.03</v>
      </c>
      <c r="E73" t="s">
        <v>14</v>
      </c>
      <c r="F73" s="11">
        <f>B73*D73</f>
        <v>11077.679999999998</v>
      </c>
      <c r="J73" s="20">
        <v>25</v>
      </c>
      <c r="K73" s="20" t="s">
        <v>166</v>
      </c>
      <c r="L73" s="25" t="s">
        <v>151</v>
      </c>
      <c r="M73" s="25">
        <f>2*6</f>
        <v>12</v>
      </c>
    </row>
    <row r="74" spans="1:13" ht="12.75">
      <c r="A74" s="4" t="s">
        <v>29</v>
      </c>
      <c r="F74" s="32">
        <f>F70+F73</f>
        <v>13746.559999999998</v>
      </c>
      <c r="J74" s="20">
        <v>26</v>
      </c>
      <c r="K74" s="20" t="s">
        <v>167</v>
      </c>
      <c r="L74" s="25" t="s">
        <v>168</v>
      </c>
      <c r="M74" s="25">
        <f>3*39.5</f>
        <v>118.5</v>
      </c>
    </row>
    <row r="75" spans="1:13" ht="12.75">
      <c r="A75" s="4" t="s">
        <v>30</v>
      </c>
      <c r="J75" s="20">
        <v>27</v>
      </c>
      <c r="K75" s="20" t="s">
        <v>174</v>
      </c>
      <c r="L75" s="25" t="s">
        <v>175</v>
      </c>
      <c r="M75" s="25">
        <f>85.2*81.99</f>
        <v>6985.548</v>
      </c>
    </row>
    <row r="76" spans="1:13" ht="12.75">
      <c r="A76" s="7" t="s">
        <v>72</v>
      </c>
      <c r="B76" s="7"/>
      <c r="C76" s="7"/>
      <c r="D76" s="7"/>
      <c r="E76" s="7"/>
      <c r="F76" s="7"/>
      <c r="J76" s="20">
        <v>28</v>
      </c>
      <c r="K76" s="20" t="s">
        <v>176</v>
      </c>
      <c r="L76" s="25" t="s">
        <v>177</v>
      </c>
      <c r="M76" s="25">
        <f>4*226</f>
        <v>904</v>
      </c>
    </row>
    <row r="77" spans="2:13" ht="12.75">
      <c r="B77">
        <f>E33</f>
        <v>3656</v>
      </c>
      <c r="C77" t="s">
        <v>13</v>
      </c>
      <c r="D77" s="11">
        <v>7.87</v>
      </c>
      <c r="E77" t="s">
        <v>14</v>
      </c>
      <c r="F77" s="11">
        <f>B77*D77</f>
        <v>28772.72</v>
      </c>
      <c r="J77" s="20">
        <v>29</v>
      </c>
      <c r="K77" s="20" t="s">
        <v>178</v>
      </c>
      <c r="L77" s="25" t="s">
        <v>151</v>
      </c>
      <c r="M77" s="25">
        <f>2*159</f>
        <v>318</v>
      </c>
    </row>
    <row r="78" spans="1:13" ht="12.75">
      <c r="A78" s="4" t="s">
        <v>31</v>
      </c>
      <c r="F78" s="32">
        <f>SUM(F77)</f>
        <v>28772.72</v>
      </c>
      <c r="J78" s="20">
        <v>30</v>
      </c>
      <c r="K78" s="20" t="s">
        <v>179</v>
      </c>
      <c r="L78" s="25" t="s">
        <v>168</v>
      </c>
      <c r="M78" s="25">
        <f>3*29.5</f>
        <v>88.5</v>
      </c>
    </row>
    <row r="79" spans="1:13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  <c r="J79" s="20">
        <v>31</v>
      </c>
      <c r="K79" s="20" t="s">
        <v>165</v>
      </c>
      <c r="L79" s="25" t="s">
        <v>151</v>
      </c>
      <c r="M79" s="25">
        <f>2*347</f>
        <v>694</v>
      </c>
    </row>
    <row r="80" spans="1:13" ht="12.75">
      <c r="A80" s="1" t="s">
        <v>32</v>
      </c>
      <c r="B80" s="1"/>
      <c r="F80" s="32">
        <f>F52+F56+F68+F74+F78+F79</f>
        <v>218189.88445154772</v>
      </c>
      <c r="J80" s="20">
        <v>32</v>
      </c>
      <c r="K80" s="20" t="s">
        <v>160</v>
      </c>
      <c r="L80" s="25" t="s">
        <v>139</v>
      </c>
      <c r="M80" s="25">
        <v>510</v>
      </c>
    </row>
    <row r="81" spans="1:13" ht="12.75">
      <c r="A81" s="1" t="s">
        <v>77</v>
      </c>
      <c r="B81" s="38"/>
      <c r="C81" s="38">
        <v>0.058</v>
      </c>
      <c r="D81" s="1"/>
      <c r="E81" s="1"/>
      <c r="F81" s="32">
        <f>F80*5.8%</f>
        <v>12655.013298189768</v>
      </c>
      <c r="I81" s="7"/>
      <c r="J81" s="20">
        <v>33</v>
      </c>
      <c r="K81" s="20" t="s">
        <v>183</v>
      </c>
      <c r="L81" s="25" t="s">
        <v>139</v>
      </c>
      <c r="M81" s="25">
        <v>24</v>
      </c>
    </row>
    <row r="82" spans="1:13" ht="12.75">
      <c r="A82" s="1"/>
      <c r="B82" s="38" t="s">
        <v>128</v>
      </c>
      <c r="C82" s="38"/>
      <c r="D82" s="1"/>
      <c r="E82" s="54"/>
      <c r="F82" s="55">
        <f>14737.08+21407.12+19024.5</f>
        <v>55168.7</v>
      </c>
      <c r="I82" s="7"/>
      <c r="J82" s="20">
        <v>34</v>
      </c>
      <c r="K82" s="20" t="s">
        <v>184</v>
      </c>
      <c r="L82" s="25" t="s">
        <v>139</v>
      </c>
      <c r="M82" s="25">
        <v>40</v>
      </c>
    </row>
    <row r="83" spans="1:13" ht="12.75">
      <c r="A83" s="1"/>
      <c r="B83" s="38" t="s">
        <v>129</v>
      </c>
      <c r="C83" s="38"/>
      <c r="D83" s="1"/>
      <c r="E83" s="54"/>
      <c r="F83" s="55">
        <f>3*292.19</f>
        <v>876.5699999999999</v>
      </c>
      <c r="I83" s="7"/>
      <c r="J83" s="20">
        <v>35</v>
      </c>
      <c r="K83" s="20" t="s">
        <v>174</v>
      </c>
      <c r="L83" s="25" t="s">
        <v>187</v>
      </c>
      <c r="M83" s="25">
        <f>142*81.99</f>
        <v>11642.58</v>
      </c>
    </row>
    <row r="84" spans="1:13" ht="12.75">
      <c r="A84" s="1"/>
      <c r="B84" s="38" t="s">
        <v>130</v>
      </c>
      <c r="C84" s="38"/>
      <c r="D84" s="1"/>
      <c r="E84" s="54"/>
      <c r="F84" s="55">
        <v>0</v>
      </c>
      <c r="I84" s="7"/>
      <c r="J84" s="20">
        <v>36</v>
      </c>
      <c r="K84" s="20" t="s">
        <v>170</v>
      </c>
      <c r="L84" s="25" t="s">
        <v>188</v>
      </c>
      <c r="M84" s="25">
        <f>6*80.43</f>
        <v>482.58000000000004</v>
      </c>
    </row>
    <row r="85" spans="1:13" ht="15">
      <c r="A85" s="12" t="s">
        <v>33</v>
      </c>
      <c r="B85" s="12"/>
      <c r="C85" s="12"/>
      <c r="D85" s="12"/>
      <c r="E85" s="12"/>
      <c r="F85" s="44">
        <f>F80+F81+F82+F83+F84</f>
        <v>286890.1677497375</v>
      </c>
      <c r="J85" s="20">
        <v>37</v>
      </c>
      <c r="K85" s="20" t="s">
        <v>178</v>
      </c>
      <c r="L85" s="25" t="s">
        <v>151</v>
      </c>
      <c r="M85" s="25">
        <f>2*159</f>
        <v>318</v>
      </c>
    </row>
    <row r="86" spans="2:13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136</v>
      </c>
      <c r="J86" s="20">
        <v>38</v>
      </c>
      <c r="K86" s="20" t="s">
        <v>189</v>
      </c>
      <c r="L86" s="25" t="s">
        <v>139</v>
      </c>
      <c r="M86" s="25">
        <v>90</v>
      </c>
    </row>
    <row r="87" spans="1:13" ht="12.75">
      <c r="A87" s="13"/>
      <c r="B87" s="41">
        <v>44409</v>
      </c>
      <c r="C87" s="42">
        <v>210372</v>
      </c>
      <c r="D87" s="45">
        <f>F44</f>
        <v>166918.61099999998</v>
      </c>
      <c r="E87" s="45">
        <f>F85</f>
        <v>286890.1677497375</v>
      </c>
      <c r="F87" s="46">
        <f>C87+D87-E87</f>
        <v>90400.44325026247</v>
      </c>
      <c r="J87" s="20">
        <v>39</v>
      </c>
      <c r="K87" s="20" t="s">
        <v>190</v>
      </c>
      <c r="L87" s="25" t="s">
        <v>188</v>
      </c>
      <c r="M87" s="25">
        <f>6*51</f>
        <v>306</v>
      </c>
    </row>
    <row r="88" spans="10:13" ht="12.75">
      <c r="J88" s="20">
        <v>40</v>
      </c>
      <c r="K88" s="20" t="s">
        <v>176</v>
      </c>
      <c r="L88" s="25" t="s">
        <v>177</v>
      </c>
      <c r="M88" s="25">
        <f>4*226</f>
        <v>904</v>
      </c>
    </row>
    <row r="89" spans="1:13" ht="13.5" thickBot="1">
      <c r="A89" t="s">
        <v>86</v>
      </c>
      <c r="C89" s="51">
        <v>44409</v>
      </c>
      <c r="D89" s="8" t="s">
        <v>87</v>
      </c>
      <c r="E89" s="51">
        <v>44500</v>
      </c>
      <c r="F89" t="s">
        <v>88</v>
      </c>
      <c r="J89" s="20">
        <v>41</v>
      </c>
      <c r="K89" s="20" t="s">
        <v>179</v>
      </c>
      <c r="L89" s="25" t="s">
        <v>168</v>
      </c>
      <c r="M89" s="25">
        <f>3*29.5</f>
        <v>88.5</v>
      </c>
    </row>
    <row r="90" spans="1:13" ht="13.5" thickBot="1">
      <c r="A90" t="s">
        <v>89</v>
      </c>
      <c r="F90" s="52">
        <f>E87</f>
        <v>286890.1677497375</v>
      </c>
      <c r="G90" t="s">
        <v>14</v>
      </c>
      <c r="J90" s="20">
        <v>42</v>
      </c>
      <c r="K90" s="20" t="s">
        <v>192</v>
      </c>
      <c r="L90" s="25" t="s">
        <v>139</v>
      </c>
      <c r="M90" s="25">
        <v>183.2</v>
      </c>
    </row>
    <row r="91" spans="1:13" ht="12.75">
      <c r="A91" t="s">
        <v>90</v>
      </c>
      <c r="J91" s="20">
        <v>43</v>
      </c>
      <c r="K91" s="20" t="s">
        <v>194</v>
      </c>
      <c r="L91" s="25" t="s">
        <v>156</v>
      </c>
      <c r="M91" s="25">
        <f>4*237.6</f>
        <v>950.4</v>
      </c>
    </row>
    <row r="92" spans="1:13" ht="12.75">
      <c r="A92" t="s">
        <v>91</v>
      </c>
      <c r="J92" s="20">
        <v>44</v>
      </c>
      <c r="K92" s="20" t="s">
        <v>157</v>
      </c>
      <c r="L92" s="25" t="s">
        <v>144</v>
      </c>
      <c r="M92" s="25">
        <f>4*12</f>
        <v>48</v>
      </c>
    </row>
    <row r="93" spans="1:13" ht="12.75">
      <c r="A93" t="s">
        <v>118</v>
      </c>
      <c r="J93" s="20">
        <v>45</v>
      </c>
      <c r="K93" s="20" t="s">
        <v>196</v>
      </c>
      <c r="L93" s="25" t="s">
        <v>197</v>
      </c>
      <c r="M93" s="25">
        <f>75*8.16</f>
        <v>612</v>
      </c>
    </row>
    <row r="94" spans="1:13" ht="12.75">
      <c r="A94" t="s">
        <v>119</v>
      </c>
      <c r="J94" s="20">
        <v>46</v>
      </c>
      <c r="K94" s="20" t="s">
        <v>198</v>
      </c>
      <c r="L94" s="25" t="s">
        <v>199</v>
      </c>
      <c r="M94" s="25">
        <f>4.6*228.26</f>
        <v>1049.9959999999999</v>
      </c>
    </row>
    <row r="95" spans="1:13" ht="12.75">
      <c r="A95" t="s">
        <v>120</v>
      </c>
      <c r="J95" s="20">
        <v>47</v>
      </c>
      <c r="K95" s="20" t="s">
        <v>200</v>
      </c>
      <c r="L95" s="25" t="s">
        <v>201</v>
      </c>
      <c r="M95" s="25">
        <f>10*170</f>
        <v>1700</v>
      </c>
    </row>
    <row r="96" spans="1:13" ht="12.75">
      <c r="A96" t="s">
        <v>121</v>
      </c>
      <c r="J96" s="20">
        <v>48</v>
      </c>
      <c r="K96" s="20" t="s">
        <v>176</v>
      </c>
      <c r="L96" s="25" t="s">
        <v>202</v>
      </c>
      <c r="M96" s="25">
        <f>3*227.6</f>
        <v>682.8</v>
      </c>
    </row>
    <row r="97" spans="1:13" ht="12.75">
      <c r="A97" t="s">
        <v>122</v>
      </c>
      <c r="J97" s="20">
        <v>49</v>
      </c>
      <c r="K97" s="20" t="s">
        <v>203</v>
      </c>
      <c r="L97" s="25" t="s">
        <v>156</v>
      </c>
      <c r="M97" s="25">
        <f>4*129</f>
        <v>516</v>
      </c>
    </row>
    <row r="98" spans="10:13" ht="12.75">
      <c r="J98" s="20">
        <v>50</v>
      </c>
      <c r="K98" s="20" t="s">
        <v>179</v>
      </c>
      <c r="L98" s="25" t="s">
        <v>144</v>
      </c>
      <c r="M98" s="25">
        <f>4*29.5</f>
        <v>118</v>
      </c>
    </row>
    <row r="99" spans="2:13" ht="12.75">
      <c r="B99" t="s">
        <v>123</v>
      </c>
      <c r="J99" s="20">
        <v>51</v>
      </c>
      <c r="K99" s="20" t="s">
        <v>204</v>
      </c>
      <c r="L99" s="25" t="s">
        <v>151</v>
      </c>
      <c r="M99" s="25">
        <f>2*1149.51</f>
        <v>2299.02</v>
      </c>
    </row>
    <row r="100" spans="10:13" ht="12.75">
      <c r="J100" s="20">
        <v>52</v>
      </c>
      <c r="K100" s="20" t="s">
        <v>205</v>
      </c>
      <c r="L100" s="25" t="s">
        <v>206</v>
      </c>
      <c r="M100" s="25">
        <f>25*22</f>
        <v>550</v>
      </c>
    </row>
    <row r="101" spans="1:13" ht="12.75">
      <c r="A101" t="s">
        <v>124</v>
      </c>
      <c r="J101" s="20">
        <v>53</v>
      </c>
      <c r="K101" s="20" t="s">
        <v>143</v>
      </c>
      <c r="L101" s="25" t="s">
        <v>139</v>
      </c>
      <c r="M101" s="25">
        <v>11.6</v>
      </c>
    </row>
    <row r="102" spans="10:13" ht="12.75">
      <c r="J102" s="20">
        <v>54</v>
      </c>
      <c r="K102" s="20"/>
      <c r="L102" s="25"/>
      <c r="M102" s="25"/>
    </row>
    <row r="103" spans="10:13" ht="12.75">
      <c r="J103" s="20">
        <v>55</v>
      </c>
      <c r="K103" s="20"/>
      <c r="L103" s="25"/>
      <c r="M103" s="25"/>
    </row>
    <row r="104" spans="1:13" ht="12.75">
      <c r="A104" t="s">
        <v>125</v>
      </c>
      <c r="J104" s="20">
        <v>56</v>
      </c>
      <c r="K104" s="20"/>
      <c r="L104" s="25"/>
      <c r="M104" s="25"/>
    </row>
    <row r="105" spans="10:13" ht="12.75">
      <c r="J105" s="20"/>
      <c r="K105" s="20"/>
      <c r="L105" s="31" t="s">
        <v>63</v>
      </c>
      <c r="M105" s="28">
        <f>SUM(M49:M104)</f>
        <v>37508.123999999996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2022-02-09T06:49:41Z</dcterms:modified>
  <cp:category/>
  <cp:version/>
  <cp:contentType/>
  <cp:contentStatus/>
</cp:coreProperties>
</file>