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<sst xmlns="http://schemas.openxmlformats.org/spreadsheetml/2006/main" count="229" uniqueCount="191">
  <si>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</si>
  <si>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</si>
  <si>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</si>
  <si>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</si>
  <si>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</si>
  <si>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</si>
  <si>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</si>
  <si>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</si>
  <si>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</si>
  <si>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</si>
  <si>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</si>
  <si>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</si>
  <si>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</si>
  <si>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</si>
  <si>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</si>
  <si>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</si>
  <si>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</si>
  <si>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</si>
  <si>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</si>
  <si>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</si>
  <si>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</si>
  <si>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</si>
  <si>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</si>
  <si>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</si>
  <si>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</si>
  <si>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</si>
  <si>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</si>
  <si>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</si>
  <si>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</si>
  <si>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</si>
  <si>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</si>
  <si>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</si>
  <si>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</si>
  <si>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</si>
  <si>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</si>
  <si>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 xml:space="preserve">   Учет затрат по текущему ремонту по ул. Белякова д.9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</si>
  <si>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</si>
  <si>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</si>
  <si>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</si>
  <si>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</si>
  <si>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</si>
  <si>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</si>
  <si>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</si>
  <si>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</si>
  <si>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</si>
  <si>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</si>
  <si>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</si>
  <si>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</si>
  <si>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</si>
  <si>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</si>
  <si>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</si>
  <si>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</si>
  <si>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</si>
  <si>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</si>
  <si>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</si>
  <si>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</si>
  <si>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</si>
  <si>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</si>
  <si>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</si>
  <si>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</si>
  <si>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</si>
  <si>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</si>
  <si>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</si>
  <si>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</si>
  <si>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</si>
  <si>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</si>
  <si>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</si>
  <si>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</si>
  <si>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</si>
  <si>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</si>
  <si>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</si>
  <si>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</si>
  <si>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</si>
  <si>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</si>
  <si>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м2</t>
  </si>
  <si>
    <t>Рязаньгоргаз (тех.обслуживание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</si>
  <si>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</si>
  <si>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</si>
  <si>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</si>
  <si>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</si>
  <si>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</si>
  <si>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</si>
  <si>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</si>
  <si>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</si>
  <si>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</si>
  <si>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</si>
  <si>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</si>
  <si>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</si>
  <si>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</si>
  <si>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</si>
  <si>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</si>
  <si>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</si>
  <si>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</si>
  <si>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</si>
  <si>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</si>
  <si>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</si>
  <si>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</si>
  <si>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</si>
  <si>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</si>
  <si>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</si>
  <si>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</si>
  <si>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</si>
  <si>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</si>
  <si>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</si>
  <si>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</si>
  <si>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</si>
  <si>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</si>
  <si>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</si>
  <si>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</si>
  <si>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</si>
  <si>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</si>
  <si>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</si>
  <si>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</si>
  <si>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</si>
  <si>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</si>
  <si>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</si>
  <si>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</si>
  <si>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</si>
  <si>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</si>
  <si>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</si>
  <si>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</si>
  <si>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</si>
  <si>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</si>
  <si>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</si>
  <si>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</si>
  <si>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</si>
  <si>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</si>
  <si>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</si>
  <si>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</si>
  <si>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</si>
  <si>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r>
      <rPr>
        <sz val="10"/>
        <rFont val="Arial Cyr"/>
        <family val="0"/>
      </rPr>
      <t>1.2 Арендаторы</t>
    </r>
    <r>
      <rPr>
        <sz val="9"/>
        <rFont val="Arial Cyr"/>
        <family val="0"/>
      </rPr>
      <t xml:space="preserve">        (почта,аптека,Абрамова,С.Банк.спарк,комстар,ростелеком.)   </t>
    </r>
    <r>
      <rPr>
        <sz val="8"/>
        <rFont val="Arial Cyr"/>
        <family val="0"/>
      </rPr>
      <t xml:space="preserve">                       </t>
    </r>
  </si>
  <si>
    <t>2020г.</t>
  </si>
  <si>
    <t>сентября</t>
  </si>
  <si>
    <t>за   сентябрь  2020 г.</t>
  </si>
  <si>
    <t>ост.на 01.10</t>
  </si>
  <si>
    <t>31.09.2020</t>
  </si>
  <si>
    <t>смена труб д 25 (1мп) п.пр.</t>
  </si>
  <si>
    <t>труба д 25 п.пр.</t>
  </si>
  <si>
    <t>1мп</t>
  </si>
  <si>
    <t>муфта 25</t>
  </si>
  <si>
    <t>1шт</t>
  </si>
  <si>
    <t>муфта п.</t>
  </si>
  <si>
    <t>смена труб д 25 (10мп) п.пр. аптека</t>
  </si>
  <si>
    <t>10мп</t>
  </si>
  <si>
    <t>5шт</t>
  </si>
  <si>
    <t>8шт</t>
  </si>
  <si>
    <t>уголок 25</t>
  </si>
  <si>
    <t>диск</t>
  </si>
  <si>
    <t>2шт</t>
  </si>
  <si>
    <t>американка 25</t>
  </si>
  <si>
    <t>смена труб д 20 п.пр. (8мп) чердак</t>
  </si>
  <si>
    <t>смена вентиля д 20 (1шт) чердак</t>
  </si>
  <si>
    <t>смена вентиля д 15 (4шт) чердак</t>
  </si>
  <si>
    <t>смена вентиля д 25 (1шт) чердак</t>
  </si>
  <si>
    <t>смена вентиля д 32 (1шт) чердак</t>
  </si>
  <si>
    <t>смена труб д 32 п.пр. (4мп) чердак</t>
  </si>
  <si>
    <t>вентиль д 20</t>
  </si>
  <si>
    <t>вентиль д 15</t>
  </si>
  <si>
    <t>4шт</t>
  </si>
  <si>
    <t>вентиль д 25</t>
  </si>
  <si>
    <t>вентиль д 32</t>
  </si>
  <si>
    <t>труба д 20 п.пр.</t>
  </si>
  <si>
    <t>8мп</t>
  </si>
  <si>
    <t>муфта 20</t>
  </si>
  <si>
    <t>переход 25</t>
  </si>
  <si>
    <t>тройник 20</t>
  </si>
  <si>
    <t>16шт</t>
  </si>
  <si>
    <t>американка 32</t>
  </si>
  <si>
    <t>муфта 32</t>
  </si>
  <si>
    <t>труба д 32</t>
  </si>
  <si>
    <t>4мп</t>
  </si>
  <si>
    <t>14шт</t>
  </si>
  <si>
    <t>6шт</t>
  </si>
  <si>
    <t>американка</t>
  </si>
  <si>
    <t>10шт</t>
  </si>
  <si>
    <t>ремонт полов</t>
  </si>
  <si>
    <t>тес</t>
  </si>
  <si>
    <t>ремонт дымоходов и вентканалов 25м2</t>
  </si>
  <si>
    <t>кирпич</t>
  </si>
  <si>
    <t>200шт</t>
  </si>
  <si>
    <t>смесь штукат.</t>
  </si>
  <si>
    <t>150кг</t>
  </si>
  <si>
    <t>цемент</t>
  </si>
  <si>
    <t>25кг</t>
  </si>
  <si>
    <t>смена ламп (39шт) п-д3,т.п</t>
  </si>
  <si>
    <t>лампа</t>
  </si>
  <si>
    <t>39шт</t>
  </si>
  <si>
    <t>смена эл.провода (5мп) п.д2</t>
  </si>
  <si>
    <t>эл.провод</t>
  </si>
  <si>
    <t>5мп</t>
  </si>
  <si>
    <t>ответаитель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</si>
</sst>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"/>
    <numFmt numFmtId="179" formatCode="0.0000000"/>
    <numFmt numFmtId="180" formatCode="0.0%"/>
    <numFmt numFmtId="181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6" xfId="0" applyBorder="1" applyAlignment="1">
      <alignment horizontal="righ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 horizontal="center"/>
    </xf>
    <xf numFmtId="2" fontId="0" fillId="32" borderId="0" xfId="0" applyNumberFormat="1" applyFont="1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0" fillId="32" borderId="0" xfId="0" applyFill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31">
      <selection activeCell="M69" sqref="M69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5" width="11.375" style="0" customWidth="1"/>
    <col min="6" max="6" width="10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35</v>
      </c>
    </row>
    <row r="2" spans="3:11" ht="12.75">
      <c r="C2" s="1" t="s">
        <v>85</v>
      </c>
      <c r="D2" s="8">
        <v>9</v>
      </c>
      <c r="K2" s="5" t="s">
        <v>133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4.11</v>
      </c>
      <c r="M6" s="51">
        <f>L6*160.174*1.302</f>
        <v>857.1263122800001</v>
      </c>
    </row>
    <row r="7" spans="2:13" ht="12.75">
      <c r="B7" t="s">
        <v>89</v>
      </c>
      <c r="C7" s="1" t="s">
        <v>90</v>
      </c>
      <c r="D7" s="8">
        <v>9</v>
      </c>
      <c r="J7" s="14">
        <v>2</v>
      </c>
      <c r="K7" s="14" t="s">
        <v>44</v>
      </c>
      <c r="L7" s="14"/>
      <c r="M7" s="51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51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51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51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0</v>
      </c>
      <c r="M11" s="51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51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5.14</v>
      </c>
      <c r="M13" s="51">
        <f t="shared" si="0"/>
        <v>1071.92925672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51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51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51">
        <f t="shared" si="0"/>
        <v>0</v>
      </c>
    </row>
    <row r="17" spans="5:13" ht="12.75">
      <c r="E17" t="s">
        <v>99</v>
      </c>
      <c r="J17" s="15" t="s">
        <v>54</v>
      </c>
      <c r="K17" s="26" t="s">
        <v>82</v>
      </c>
      <c r="L17" s="21">
        <v>7.5</v>
      </c>
      <c r="M17" s="51">
        <f t="shared" si="0"/>
        <v>1564.09911</v>
      </c>
    </row>
    <row r="18" spans="5:13" ht="12.75">
      <c r="E18" t="s">
        <v>100</v>
      </c>
      <c r="J18" s="15" t="s">
        <v>56</v>
      </c>
      <c r="K18" s="26" t="s">
        <v>55</v>
      </c>
      <c r="L18" s="21">
        <v>1.35</v>
      </c>
      <c r="M18" s="51">
        <f t="shared" si="0"/>
        <v>281.53783980000003</v>
      </c>
    </row>
    <row r="19" spans="1:13" ht="12.75">
      <c r="A19" t="s">
        <v>101</v>
      </c>
      <c r="J19" s="16" t="s">
        <v>81</v>
      </c>
      <c r="K19" s="18" t="s">
        <v>57</v>
      </c>
      <c r="L19" s="23">
        <v>0.5</v>
      </c>
      <c r="M19" s="51">
        <f t="shared" si="0"/>
        <v>104.27327400000001</v>
      </c>
    </row>
    <row r="20" spans="1:13" ht="12.75">
      <c r="A20" t="s">
        <v>102</v>
      </c>
      <c r="J20" s="20"/>
      <c r="K20" s="27" t="s">
        <v>58</v>
      </c>
      <c r="L20" s="28">
        <f>SUM(L6:L19)</f>
        <v>18.6</v>
      </c>
      <c r="M20" s="34">
        <f>SUM(M6:M19)</f>
        <v>3878.9657928000006</v>
      </c>
    </row>
    <row r="21" spans="1:11" ht="12.75">
      <c r="A21" t="s">
        <v>126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136</v>
      </c>
      <c r="L24" s="51">
        <f>0.01*184.3</f>
        <v>1.8430000000000002</v>
      </c>
      <c r="M24" s="33">
        <f>L24*160.174*1.302*1.15</f>
        <v>442.0039811586</v>
      </c>
    </row>
    <row r="25" spans="1:13" ht="12.75">
      <c r="A25" t="s">
        <v>106</v>
      </c>
      <c r="J25" s="20">
        <v>2</v>
      </c>
      <c r="K25" s="20" t="s">
        <v>142</v>
      </c>
      <c r="L25" s="25">
        <f>0.1*184.3</f>
        <v>18.430000000000003</v>
      </c>
      <c r="M25" s="33">
        <f aca="true" t="shared" si="1" ref="M25:M35">L25*160.174*1.302*1.15</f>
        <v>4420.039811586001</v>
      </c>
    </row>
    <row r="26" spans="1:13" ht="12.75">
      <c r="A26" t="s">
        <v>107</v>
      </c>
      <c r="J26" s="20">
        <v>3</v>
      </c>
      <c r="K26" s="20" t="s">
        <v>151</v>
      </c>
      <c r="L26" s="25">
        <v>0.81</v>
      </c>
      <c r="M26" s="33">
        <f t="shared" si="1"/>
        <v>194.261109462</v>
      </c>
    </row>
    <row r="27" spans="1:13" ht="12.75">
      <c r="A27" s="52" t="s">
        <v>108</v>
      </c>
      <c r="B27" s="52"/>
      <c r="C27" s="52"/>
      <c r="D27" s="52"/>
      <c r="E27" s="52"/>
      <c r="F27" s="52"/>
      <c r="G27" s="52"/>
      <c r="J27" s="20">
        <v>4</v>
      </c>
      <c r="K27" s="20" t="s">
        <v>152</v>
      </c>
      <c r="L27" s="51">
        <f>0.04*81</f>
        <v>3.24</v>
      </c>
      <c r="M27" s="33">
        <f t="shared" si="1"/>
        <v>777.044437848</v>
      </c>
    </row>
    <row r="28" spans="1:13" ht="12.75">
      <c r="A28" t="s">
        <v>109</v>
      </c>
      <c r="B28" s="1"/>
      <c r="C28" s="1"/>
      <c r="D28" s="1"/>
      <c r="J28" s="20">
        <v>5</v>
      </c>
      <c r="K28" s="20" t="s">
        <v>153</v>
      </c>
      <c r="L28" s="25">
        <v>1.03</v>
      </c>
      <c r="M28" s="33">
        <f t="shared" si="1"/>
        <v>247.02338610599998</v>
      </c>
    </row>
    <row r="29" spans="1:13" ht="12.75">
      <c r="A29" t="s">
        <v>110</v>
      </c>
      <c r="B29" s="1"/>
      <c r="C29" s="8"/>
      <c r="D29" s="8"/>
      <c r="J29" s="20">
        <v>6</v>
      </c>
      <c r="K29" s="20" t="s">
        <v>154</v>
      </c>
      <c r="L29" s="51">
        <v>1.03</v>
      </c>
      <c r="M29" s="33">
        <f t="shared" si="1"/>
        <v>247.02338610599998</v>
      </c>
    </row>
    <row r="30" spans="10:13" ht="12.75">
      <c r="J30" s="20">
        <v>7</v>
      </c>
      <c r="K30" s="20" t="s">
        <v>150</v>
      </c>
      <c r="L30" s="25">
        <f>0.08*224.9</f>
        <v>17.992</v>
      </c>
      <c r="M30" s="33">
        <f t="shared" si="1"/>
        <v>4314.9949153584</v>
      </c>
    </row>
    <row r="31" spans="2:13" ht="12.75">
      <c r="B31" t="s">
        <v>0</v>
      </c>
      <c r="J31" s="20">
        <v>8</v>
      </c>
      <c r="K31" s="20" t="s">
        <v>155</v>
      </c>
      <c r="L31" s="25">
        <f>0.04*156.46</f>
        <v>6.258400000000001</v>
      </c>
      <c r="M31" s="33">
        <f t="shared" si="1"/>
        <v>1500.9428734036803</v>
      </c>
    </row>
    <row r="32" spans="10:13" ht="12.75">
      <c r="J32" s="20">
        <v>9</v>
      </c>
      <c r="K32" s="20" t="s">
        <v>175</v>
      </c>
      <c r="L32" s="25">
        <v>6.25</v>
      </c>
      <c r="M32" s="33">
        <f t="shared" si="1"/>
        <v>1498.9283137500001</v>
      </c>
    </row>
    <row r="33" spans="1:13" ht="12.75">
      <c r="A33" t="s">
        <v>1</v>
      </c>
      <c r="E33">
        <v>3670.7</v>
      </c>
      <c r="F33" t="s">
        <v>74</v>
      </c>
      <c r="J33" s="20">
        <v>10</v>
      </c>
      <c r="K33" s="20" t="s">
        <v>177</v>
      </c>
      <c r="L33" s="25">
        <v>24.55</v>
      </c>
      <c r="M33" s="33">
        <f t="shared" si="1"/>
        <v>5887.79041641</v>
      </c>
    </row>
    <row r="34" spans="1:13" ht="12.75">
      <c r="A34" t="s">
        <v>2</v>
      </c>
      <c r="E34">
        <v>1286.7</v>
      </c>
      <c r="F34" t="s">
        <v>74</v>
      </c>
      <c r="J34" s="20">
        <v>11</v>
      </c>
      <c r="K34" s="20" t="s">
        <v>184</v>
      </c>
      <c r="L34" s="25">
        <f>0.39*7.1</f>
        <v>2.769</v>
      </c>
      <c r="M34" s="33">
        <f t="shared" si="1"/>
        <v>664.0852001238</v>
      </c>
    </row>
    <row r="35" spans="1:13" ht="12.75">
      <c r="A35" t="s">
        <v>3</v>
      </c>
      <c r="J35" s="20">
        <v>12</v>
      </c>
      <c r="K35" s="20" t="s">
        <v>187</v>
      </c>
      <c r="L35" s="25">
        <f>0.05*27.1</f>
        <v>1.3550000000000002</v>
      </c>
      <c r="M35" s="33">
        <f t="shared" si="1"/>
        <v>324.967658421</v>
      </c>
    </row>
    <row r="36" spans="1:13" ht="12.75">
      <c r="A36" t="s">
        <v>4</v>
      </c>
      <c r="E36">
        <v>415.9</v>
      </c>
      <c r="F36" t="s">
        <v>74</v>
      </c>
      <c r="J36" s="20"/>
      <c r="K36" s="30" t="s">
        <v>58</v>
      </c>
      <c r="L36" s="28">
        <f>SUM(L24:L35)</f>
        <v>85.55740000000002</v>
      </c>
      <c r="M36" s="35">
        <f>SUM(M24:M35)</f>
        <v>20519.10548973348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5">
        <v>50624.51</v>
      </c>
      <c r="J40" s="45">
        <v>1</v>
      </c>
      <c r="K40" s="43" t="s">
        <v>137</v>
      </c>
      <c r="L40" s="23" t="s">
        <v>138</v>
      </c>
      <c r="M40" s="59">
        <v>83</v>
      </c>
    </row>
    <row r="41" spans="1:13" ht="12.75">
      <c r="A41" t="s">
        <v>7</v>
      </c>
      <c r="F41" s="5">
        <v>48067.14</v>
      </c>
      <c r="J41" s="45">
        <v>2</v>
      </c>
      <c r="K41" s="43" t="s">
        <v>139</v>
      </c>
      <c r="L41" s="23" t="s">
        <v>140</v>
      </c>
      <c r="M41" s="23">
        <v>51.5</v>
      </c>
    </row>
    <row r="42" spans="2:13" ht="12.75">
      <c r="B42" t="s">
        <v>8</v>
      </c>
      <c r="F42" s="9">
        <f>F41/F40</f>
        <v>0.9494835604334738</v>
      </c>
      <c r="J42" s="45">
        <v>3</v>
      </c>
      <c r="K42" s="43" t="s">
        <v>141</v>
      </c>
      <c r="L42" s="23" t="s">
        <v>140</v>
      </c>
      <c r="M42" s="59">
        <v>26</v>
      </c>
    </row>
    <row r="43" spans="1:13" ht="22.5" customHeight="1">
      <c r="A43" s="67" t="s">
        <v>130</v>
      </c>
      <c r="B43" s="68"/>
      <c r="C43" s="68"/>
      <c r="D43" s="68"/>
      <c r="E43" s="68"/>
      <c r="F43" s="11">
        <f>(99.9+232.9+107.7+37.5+174.78+57.6)*13.79+(250+250+400)</f>
        <v>10696.1402</v>
      </c>
      <c r="J43" s="45">
        <v>4</v>
      </c>
      <c r="K43" s="43" t="s">
        <v>137</v>
      </c>
      <c r="L43" s="23" t="s">
        <v>143</v>
      </c>
      <c r="M43" s="23">
        <f>10*83</f>
        <v>830</v>
      </c>
    </row>
    <row r="44" spans="1:13" ht="12.75">
      <c r="A44" s="3" t="s">
        <v>9</v>
      </c>
      <c r="B44" s="3"/>
      <c r="C44" s="3"/>
      <c r="D44" s="3"/>
      <c r="E44" s="1"/>
      <c r="F44" s="32">
        <f>F41+F43</f>
        <v>58763.2802</v>
      </c>
      <c r="J44" s="45">
        <v>5</v>
      </c>
      <c r="K44" s="43" t="s">
        <v>139</v>
      </c>
      <c r="L44" s="23" t="s">
        <v>144</v>
      </c>
      <c r="M44" s="23">
        <f>5*51.5</f>
        <v>257.5</v>
      </c>
    </row>
    <row r="45" spans="6:13" ht="12.75">
      <c r="F45" s="5"/>
      <c r="J45" s="45">
        <v>6</v>
      </c>
      <c r="K45" s="43" t="s">
        <v>146</v>
      </c>
      <c r="L45" s="23" t="s">
        <v>145</v>
      </c>
      <c r="M45" s="59">
        <f>8*6</f>
        <v>48</v>
      </c>
    </row>
    <row r="46" spans="2:13" ht="12.75">
      <c r="B46" s="1" t="s">
        <v>10</v>
      </c>
      <c r="C46" s="1"/>
      <c r="J46" s="46">
        <v>7</v>
      </c>
      <c r="K46" s="20" t="s">
        <v>147</v>
      </c>
      <c r="L46" s="25" t="s">
        <v>148</v>
      </c>
      <c r="M46" s="51">
        <f>2*27.75</f>
        <v>55.5</v>
      </c>
    </row>
    <row r="47" spans="10:13" ht="12.75">
      <c r="J47" s="46">
        <v>8</v>
      </c>
      <c r="K47" s="44" t="s">
        <v>149</v>
      </c>
      <c r="L47" s="25" t="s">
        <v>145</v>
      </c>
      <c r="M47" s="25">
        <f>8*126</f>
        <v>1008</v>
      </c>
    </row>
    <row r="48" spans="1:13" ht="12.75">
      <c r="A48" s="4" t="s">
        <v>11</v>
      </c>
      <c r="B48" s="4"/>
      <c r="C48" s="4"/>
      <c r="D48" s="4"/>
      <c r="E48" s="4"/>
      <c r="F48" s="4"/>
      <c r="J48" s="46">
        <v>9</v>
      </c>
      <c r="K48" s="44" t="s">
        <v>156</v>
      </c>
      <c r="L48" s="25" t="s">
        <v>140</v>
      </c>
      <c r="M48" s="25">
        <v>437</v>
      </c>
    </row>
    <row r="49" spans="1:13" ht="12.75">
      <c r="A49" t="s">
        <v>12</v>
      </c>
      <c r="F49" s="11">
        <f>7795*1.302</f>
        <v>10149.09</v>
      </c>
      <c r="J49" s="46">
        <v>10</v>
      </c>
      <c r="K49" s="44" t="s">
        <v>157</v>
      </c>
      <c r="L49" s="25" t="s">
        <v>158</v>
      </c>
      <c r="M49" s="25">
        <f>4*320.57</f>
        <v>1282.28</v>
      </c>
    </row>
    <row r="50" spans="1:13" ht="12.75">
      <c r="A50" s="6" t="s">
        <v>15</v>
      </c>
      <c r="F50" s="11">
        <f>2080*1.302</f>
        <v>2708.1600000000003</v>
      </c>
      <c r="J50" s="46">
        <v>11</v>
      </c>
      <c r="K50" s="44" t="s">
        <v>159</v>
      </c>
      <c r="L50" s="25" t="s">
        <v>140</v>
      </c>
      <c r="M50" s="25">
        <v>687</v>
      </c>
    </row>
    <row r="51" spans="1:13" ht="12.75">
      <c r="A51" s="60" t="s">
        <v>83</v>
      </c>
      <c r="B51" s="57"/>
      <c r="C51" s="61"/>
      <c r="D51" s="61"/>
      <c r="E51" s="62">
        <v>0</v>
      </c>
      <c r="F51" s="63">
        <f>E51*E33</f>
        <v>0</v>
      </c>
      <c r="J51" s="46">
        <v>12</v>
      </c>
      <c r="K51" s="44" t="s">
        <v>160</v>
      </c>
      <c r="L51" s="25" t="s">
        <v>140</v>
      </c>
      <c r="M51" s="25">
        <v>540</v>
      </c>
    </row>
    <row r="52" spans="1:13" ht="12.75">
      <c r="A52" s="4" t="s">
        <v>33</v>
      </c>
      <c r="D52" s="5"/>
      <c r="F52" s="32">
        <f>F49+F50+F51</f>
        <v>12857.25</v>
      </c>
      <c r="J52" s="46">
        <v>13</v>
      </c>
      <c r="K52" s="44" t="s">
        <v>161</v>
      </c>
      <c r="L52" s="25" t="s">
        <v>162</v>
      </c>
      <c r="M52" s="25">
        <f>8*58</f>
        <v>464</v>
      </c>
    </row>
    <row r="53" spans="1:13" ht="12.75">
      <c r="A53" s="4" t="s">
        <v>16</v>
      </c>
      <c r="D53" s="5"/>
      <c r="J53" s="46">
        <v>14</v>
      </c>
      <c r="K53" s="44" t="s">
        <v>163</v>
      </c>
      <c r="L53" s="25" t="s">
        <v>144</v>
      </c>
      <c r="M53" s="25">
        <f>5*26</f>
        <v>130</v>
      </c>
    </row>
    <row r="54" spans="1:13" ht="12.75">
      <c r="A54" t="s">
        <v>73</v>
      </c>
      <c r="C54" s="13"/>
      <c r="D54" s="50">
        <v>0</v>
      </c>
      <c r="E54" s="13" t="s">
        <v>14</v>
      </c>
      <c r="F54" s="11">
        <f>E33*D54</f>
        <v>0</v>
      </c>
      <c r="J54" s="46">
        <v>15</v>
      </c>
      <c r="K54" s="44" t="s">
        <v>164</v>
      </c>
      <c r="L54" s="25" t="s">
        <v>140</v>
      </c>
      <c r="M54" s="25">
        <v>9</v>
      </c>
    </row>
    <row r="55" spans="1:13" ht="12.75">
      <c r="A55" t="s">
        <v>79</v>
      </c>
      <c r="B55">
        <v>1286.7</v>
      </c>
      <c r="C55" t="s">
        <v>13</v>
      </c>
      <c r="D55" s="5">
        <v>0.5</v>
      </c>
      <c r="E55" t="s">
        <v>14</v>
      </c>
      <c r="F55" s="11">
        <f>B55*D55</f>
        <v>643.35</v>
      </c>
      <c r="J55" s="46">
        <v>16</v>
      </c>
      <c r="K55" s="44" t="s">
        <v>165</v>
      </c>
      <c r="L55" s="25" t="s">
        <v>148</v>
      </c>
      <c r="M55" s="25">
        <f>2*6</f>
        <v>12</v>
      </c>
    </row>
    <row r="56" spans="1:13" ht="12.75">
      <c r="A56" s="4" t="s">
        <v>17</v>
      </c>
      <c r="B56" s="10"/>
      <c r="C56" s="10"/>
      <c r="F56" s="32">
        <f>SUM(F54:F55)</f>
        <v>643.35</v>
      </c>
      <c r="J56" s="46">
        <v>17</v>
      </c>
      <c r="K56" s="44" t="s">
        <v>163</v>
      </c>
      <c r="L56" s="25" t="s">
        <v>166</v>
      </c>
      <c r="M56" s="25">
        <f>16*81.43</f>
        <v>1302.88</v>
      </c>
    </row>
    <row r="57" spans="1:13" ht="12.75">
      <c r="A57" s="4" t="s">
        <v>18</v>
      </c>
      <c r="B57" s="4"/>
      <c r="J57" s="46">
        <v>18</v>
      </c>
      <c r="K57" s="44" t="s">
        <v>167</v>
      </c>
      <c r="L57" s="25" t="s">
        <v>171</v>
      </c>
      <c r="M57" s="25">
        <f>14*193.27</f>
        <v>2705.78</v>
      </c>
    </row>
    <row r="58" spans="1:13" ht="12.75">
      <c r="A58" t="s">
        <v>19</v>
      </c>
      <c r="C58">
        <v>295302</v>
      </c>
      <c r="D58">
        <v>224780.8</v>
      </c>
      <c r="E58">
        <v>3670.7</v>
      </c>
      <c r="F58" s="36">
        <f>C58/D58*E58</f>
        <v>4822.320462423837</v>
      </c>
      <c r="J58" s="46">
        <v>19</v>
      </c>
      <c r="K58" s="44" t="s">
        <v>168</v>
      </c>
      <c r="L58" s="25" t="s">
        <v>158</v>
      </c>
      <c r="M58" s="25">
        <f>4*78</f>
        <v>312</v>
      </c>
    </row>
    <row r="59" spans="1:13" ht="12.75">
      <c r="A59" t="s">
        <v>20</v>
      </c>
      <c r="F59" s="36">
        <f>M20</f>
        <v>3878.9657928000006</v>
      </c>
      <c r="J59" s="46">
        <v>20</v>
      </c>
      <c r="K59" s="44" t="s">
        <v>169</v>
      </c>
      <c r="L59" s="25" t="s">
        <v>170</v>
      </c>
      <c r="M59" s="25">
        <f>4*79</f>
        <v>316</v>
      </c>
    </row>
    <row r="60" spans="1:13" ht="12.75">
      <c r="A60" t="s">
        <v>21</v>
      </c>
      <c r="F60" s="11">
        <f>M36</f>
        <v>20519.10548973348</v>
      </c>
      <c r="J60" s="46">
        <v>21</v>
      </c>
      <c r="K60" s="44" t="s">
        <v>139</v>
      </c>
      <c r="L60" s="25" t="s">
        <v>172</v>
      </c>
      <c r="M60" s="25">
        <f>6*51.5</f>
        <v>309</v>
      </c>
    </row>
    <row r="61" spans="1:13" ht="12.75">
      <c r="A61" t="s">
        <v>70</v>
      </c>
      <c r="F61" s="5">
        <f>0*600*1.302</f>
        <v>0</v>
      </c>
      <c r="J61" s="46">
        <v>22</v>
      </c>
      <c r="K61" s="44" t="s">
        <v>173</v>
      </c>
      <c r="L61" s="25" t="s">
        <v>174</v>
      </c>
      <c r="M61" s="25">
        <f>10*103</f>
        <v>1030</v>
      </c>
    </row>
    <row r="62" spans="1:13" ht="12.75">
      <c r="A62" t="s">
        <v>22</v>
      </c>
      <c r="F62" s="5">
        <f>M70</f>
        <v>18869.260000000002</v>
      </c>
      <c r="J62" s="46">
        <v>23</v>
      </c>
      <c r="K62" s="44" t="s">
        <v>176</v>
      </c>
      <c r="L62" s="25" t="s">
        <v>158</v>
      </c>
      <c r="M62" s="25">
        <f>4*320</f>
        <v>1280</v>
      </c>
    </row>
    <row r="63" spans="1:13" ht="12.75">
      <c r="A63" t="s">
        <v>23</v>
      </c>
      <c r="F63" s="5"/>
      <c r="J63" s="46">
        <v>24</v>
      </c>
      <c r="K63" s="44" t="s">
        <v>178</v>
      </c>
      <c r="L63" s="25" t="s">
        <v>179</v>
      </c>
      <c r="M63" s="25">
        <v>1900</v>
      </c>
    </row>
    <row r="64" spans="1:13" ht="12.75">
      <c r="A64" t="s">
        <v>24</v>
      </c>
      <c r="F64" s="5"/>
      <c r="J64" s="46">
        <v>25</v>
      </c>
      <c r="K64" s="44" t="s">
        <v>180</v>
      </c>
      <c r="L64" s="25" t="s">
        <v>181</v>
      </c>
      <c r="M64" s="25">
        <v>3000</v>
      </c>
    </row>
    <row r="65" spans="2:13" ht="12.75">
      <c r="B65">
        <v>3670.7</v>
      </c>
      <c r="C65" t="s">
        <v>13</v>
      </c>
      <c r="D65" s="11">
        <v>0.43</v>
      </c>
      <c r="E65" t="s">
        <v>14</v>
      </c>
      <c r="F65" s="11">
        <f>B65*D65</f>
        <v>1578.4009999999998</v>
      </c>
      <c r="J65" s="46">
        <v>26</v>
      </c>
      <c r="K65" s="44" t="s">
        <v>182</v>
      </c>
      <c r="L65" s="25" t="s">
        <v>183</v>
      </c>
      <c r="M65" s="25">
        <v>195</v>
      </c>
    </row>
    <row r="66" spans="1:13" ht="12.75">
      <c r="A66" s="57" t="s">
        <v>75</v>
      </c>
      <c r="B66" s="57"/>
      <c r="C66" s="57"/>
      <c r="D66" s="58"/>
      <c r="E66" s="57"/>
      <c r="F66" s="58">
        <v>0</v>
      </c>
      <c r="J66" s="46">
        <v>27</v>
      </c>
      <c r="K66" s="44" t="s">
        <v>185</v>
      </c>
      <c r="L66" s="25" t="s">
        <v>186</v>
      </c>
      <c r="M66" s="25">
        <f>39*11.7</f>
        <v>456.29999999999995</v>
      </c>
    </row>
    <row r="67" spans="1:13" ht="12.75">
      <c r="A67" s="57" t="s">
        <v>84</v>
      </c>
      <c r="B67" s="57"/>
      <c r="C67" s="57"/>
      <c r="D67" s="58">
        <v>0</v>
      </c>
      <c r="E67" s="57"/>
      <c r="F67" s="58">
        <f>D67*E33</f>
        <v>0</v>
      </c>
      <c r="J67" s="46">
        <v>28</v>
      </c>
      <c r="K67" s="44" t="s">
        <v>188</v>
      </c>
      <c r="L67" s="25" t="s">
        <v>189</v>
      </c>
      <c r="M67" s="25">
        <f>5*27.1</f>
        <v>135.5</v>
      </c>
    </row>
    <row r="68" spans="1:13" ht="12.75">
      <c r="A68" s="4" t="s">
        <v>25</v>
      </c>
      <c r="B68" s="10"/>
      <c r="C68" s="10"/>
      <c r="F68" s="32">
        <f>SUM(F58:F67)</f>
        <v>49668.05274495731</v>
      </c>
      <c r="J68" s="46">
        <v>29</v>
      </c>
      <c r="K68" s="44" t="s">
        <v>190</v>
      </c>
      <c r="L68" s="25" t="s">
        <v>148</v>
      </c>
      <c r="M68" s="25">
        <f>2*3.01</f>
        <v>6.02</v>
      </c>
    </row>
    <row r="69" spans="1:13" ht="12.75">
      <c r="A69" s="4" t="s">
        <v>26</v>
      </c>
      <c r="F69" s="5"/>
      <c r="J69" s="46">
        <v>30</v>
      </c>
      <c r="K69" s="44"/>
      <c r="L69" s="25"/>
      <c r="M69" s="25"/>
    </row>
    <row r="70" spans="1:13" ht="12.75">
      <c r="A70" t="s">
        <v>27</v>
      </c>
      <c r="B70">
        <v>3670.7</v>
      </c>
      <c r="C70" s="5" t="s">
        <v>13</v>
      </c>
      <c r="D70" s="5">
        <v>0.24</v>
      </c>
      <c r="E70" t="s">
        <v>14</v>
      </c>
      <c r="F70" s="11">
        <f>B70*D70</f>
        <v>880.968</v>
      </c>
      <c r="J70" s="20"/>
      <c r="K70" s="20"/>
      <c r="L70" s="31" t="s">
        <v>65</v>
      </c>
      <c r="M70" s="28">
        <f>SUM(M40:M69)</f>
        <v>18869.260000000002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v>3670.7</v>
      </c>
      <c r="C73" t="s">
        <v>13</v>
      </c>
      <c r="D73" s="11">
        <v>1.06</v>
      </c>
      <c r="E73" t="s">
        <v>14</v>
      </c>
      <c r="F73" s="5">
        <f>B73*D73</f>
        <v>3890.942</v>
      </c>
    </row>
    <row r="74" spans="1:6" ht="12.75">
      <c r="A74" s="10" t="s">
        <v>29</v>
      </c>
      <c r="F74" s="8">
        <f>F70+F73</f>
        <v>4771.91</v>
      </c>
    </row>
    <row r="75" ht="12.75">
      <c r="A75" s="4" t="s">
        <v>30</v>
      </c>
    </row>
    <row r="76" spans="1:6" ht="12.75">
      <c r="A76" s="7" t="s">
        <v>72</v>
      </c>
      <c r="B76" s="7"/>
      <c r="C76" s="7"/>
      <c r="D76" s="7"/>
      <c r="E76" s="7"/>
      <c r="F76" s="7"/>
    </row>
    <row r="77" spans="2:6" ht="12.75">
      <c r="B77">
        <v>3670.7</v>
      </c>
      <c r="C77" t="s">
        <v>13</v>
      </c>
      <c r="D77" s="11">
        <v>2.58</v>
      </c>
      <c r="E77" t="s">
        <v>14</v>
      </c>
      <c r="F77" s="11">
        <f>B77*D77</f>
        <v>9470.405999999999</v>
      </c>
    </row>
    <row r="78" spans="1:6" ht="12.75">
      <c r="A78" s="64" t="s">
        <v>31</v>
      </c>
      <c r="B78" s="57"/>
      <c r="C78" s="57"/>
      <c r="D78" s="57"/>
      <c r="E78" s="57"/>
      <c r="F78" s="65">
        <f>SUM(F77)</f>
        <v>9470.405999999999</v>
      </c>
    </row>
    <row r="79" spans="1:6" ht="12.75">
      <c r="A79" s="64" t="s">
        <v>78</v>
      </c>
      <c r="B79" s="57"/>
      <c r="C79" s="57"/>
      <c r="D79" s="66">
        <v>0</v>
      </c>
      <c r="E79" s="57"/>
      <c r="F79" s="65">
        <f>D79*E33</f>
        <v>0</v>
      </c>
    </row>
    <row r="80" spans="1:6" ht="12.75">
      <c r="A80" s="1" t="s">
        <v>32</v>
      </c>
      <c r="B80" s="1"/>
      <c r="F80" s="32">
        <f>F52+F56+F68+F74+F78+F79</f>
        <v>77410.96874495731</v>
      </c>
    </row>
    <row r="81" spans="1:9" ht="12.75">
      <c r="A81" s="1" t="s">
        <v>76</v>
      </c>
      <c r="B81" s="37"/>
      <c r="C81" s="37">
        <v>0.058</v>
      </c>
      <c r="D81" s="1"/>
      <c r="E81" s="1"/>
      <c r="F81" s="32">
        <f>F80*5.8%</f>
        <v>4489.836187207524</v>
      </c>
      <c r="I81" s="7"/>
    </row>
    <row r="82" spans="1:9" ht="12.75">
      <c r="A82" s="1"/>
      <c r="B82" s="37" t="s">
        <v>127</v>
      </c>
      <c r="C82" s="37"/>
      <c r="D82" s="1"/>
      <c r="E82" s="55"/>
      <c r="F82" s="56">
        <v>2585.2</v>
      </c>
      <c r="I82" s="7"/>
    </row>
    <row r="83" spans="1:9" ht="12.75">
      <c r="A83" s="1"/>
      <c r="B83" s="37" t="s">
        <v>128</v>
      </c>
      <c r="C83" s="37"/>
      <c r="D83" s="1"/>
      <c r="E83" s="55"/>
      <c r="F83" s="56">
        <v>293.7</v>
      </c>
      <c r="I83" s="7"/>
    </row>
    <row r="84" spans="1:9" ht="12.75">
      <c r="A84" s="1"/>
      <c r="B84" s="37" t="s">
        <v>129</v>
      </c>
      <c r="C84" s="37"/>
      <c r="D84" s="1"/>
      <c r="E84" s="55"/>
      <c r="F84" s="56">
        <v>0</v>
      </c>
      <c r="I84" s="7"/>
    </row>
    <row r="85" spans="1:6" ht="15">
      <c r="A85" s="12" t="s">
        <v>34</v>
      </c>
      <c r="B85" s="12"/>
      <c r="C85" s="12"/>
      <c r="D85" s="12"/>
      <c r="E85" s="12"/>
      <c r="F85" s="47">
        <f>F80+F81+F82+F83+F84</f>
        <v>84779.70493216482</v>
      </c>
    </row>
    <row r="86" spans="2:6" ht="12.75">
      <c r="B86" s="39" t="s">
        <v>66</v>
      </c>
      <c r="C86" s="40" t="s">
        <v>67</v>
      </c>
      <c r="D86" s="22" t="s">
        <v>68</v>
      </c>
      <c r="E86" s="22" t="s">
        <v>69</v>
      </c>
      <c r="F86" s="38" t="s">
        <v>134</v>
      </c>
    </row>
    <row r="87" spans="1:6" ht="12.75">
      <c r="A87" s="13"/>
      <c r="B87" s="41">
        <v>44075</v>
      </c>
      <c r="C87" s="42">
        <v>405294</v>
      </c>
      <c r="D87" s="48">
        <f>F44</f>
        <v>58763.2802</v>
      </c>
      <c r="E87" s="48">
        <f>F85</f>
        <v>84779.70493216482</v>
      </c>
      <c r="F87" s="49">
        <f>C87+D87-E87</f>
        <v>379277.5752678352</v>
      </c>
    </row>
    <row r="89" spans="1:6" ht="13.5" thickBot="1">
      <c r="A89" t="s">
        <v>111</v>
      </c>
      <c r="C89" s="53">
        <v>44075</v>
      </c>
      <c r="D89" s="8" t="s">
        <v>112</v>
      </c>
      <c r="E89" s="53" t="s">
        <v>135</v>
      </c>
      <c r="F89" t="s">
        <v>113</v>
      </c>
    </row>
    <row r="90" spans="1:7" ht="13.5" thickBot="1">
      <c r="A90" t="s">
        <v>114</v>
      </c>
      <c r="F90" s="54">
        <f>E87</f>
        <v>84779.70493216482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mergeCells count="1">
    <mergeCell ref="A43:E43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Лайт Сити</cp:lastModifiedBy>
  <cp:lastPrinted>2017-08-21T12:45:18Z</cp:lastPrinted>
  <dcterms:created xsi:type="dcterms:W3CDTF">2008-08-18T07:30:19Z</dcterms:created>
  <dcterms:modified xsi:type="dcterms:W3CDTF">2021-01-25T07:38:39Z</dcterms:modified>
  <cp:category/>
  <cp:version/>
  <cp:contentType/>
  <cp:contentStatus/>
</cp:coreProperties>
</file>