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<sst xmlns="http://schemas.openxmlformats.org/spreadsheetml/2006/main" count="290" uniqueCount="218">
  <si>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</si>
  <si>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</si>
  <si>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</si>
  <si>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</si>
  <si>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</si>
  <si>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</si>
  <si>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</si>
  <si>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</si>
  <si>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</si>
  <si>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</si>
  <si>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</si>
  <si>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</si>
  <si>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</si>
  <si>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</si>
  <si>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</si>
  <si>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</si>
  <si>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</si>
  <si>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</si>
  <si>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</si>
  <si>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</si>
  <si>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</si>
  <si>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</si>
  <si>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</si>
  <si>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</si>
  <si>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</si>
  <si>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</si>
  <si>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</si>
  <si>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</si>
  <si>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</si>
  <si>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</si>
  <si>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</si>
  <si>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</si>
  <si>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</si>
  <si>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</si>
  <si>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</si>
  <si>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</si>
  <si>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</si>
  <si>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</si>
  <si>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</si>
  <si>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</si>
  <si>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</si>
  <si>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</si>
  <si>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</si>
  <si>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</si>
  <si>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</si>
  <si>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</si>
  <si>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</si>
  <si>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</si>
  <si>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</si>
  <si>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</si>
  <si>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</si>
  <si>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</si>
  <si>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</si>
  <si>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</si>
  <si>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</si>
  <si>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</si>
  <si>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</si>
  <si>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</si>
  <si>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</si>
  <si>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</si>
  <si>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</si>
  <si>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</si>
  <si>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</si>
  <si>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</si>
  <si>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</si>
  <si>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</si>
  <si>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</si>
  <si>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</si>
  <si>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</si>
  <si>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</si>
  <si>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</si>
  <si>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</si>
  <si>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</si>
  <si>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</si>
  <si>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</si>
  <si>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</si>
  <si>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</si>
  <si>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</si>
  <si>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</si>
  <si>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</si>
  <si>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</si>
  <si>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</si>
  <si>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</si>
  <si>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</si>
  <si>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</si>
  <si>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</si>
  <si>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</si>
  <si>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</si>
  <si>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</si>
  <si>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</si>
  <si>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</si>
  <si>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</si>
  <si>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</si>
  <si>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</si>
  <si>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</si>
  <si>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</si>
  <si>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</si>
  <si>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</si>
  <si>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</si>
  <si>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</si>
  <si>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</si>
  <si>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</si>
  <si>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</si>
  <si>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</si>
  <si>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</si>
  <si>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</si>
  <si>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</si>
  <si>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</si>
  <si>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</si>
  <si>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</si>
  <si>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к.2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</si>
  <si>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</si>
  <si>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</si>
  <si>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</si>
  <si>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</si>
  <si>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</si>
  <si>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</si>
  <si>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</si>
  <si>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</si>
  <si>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</si>
  <si>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</si>
  <si>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</si>
  <si>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</si>
  <si>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</si>
  <si>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</si>
  <si>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</si>
  <si>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</si>
  <si>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</si>
  <si>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</si>
  <si>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</si>
  <si>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Арендаторы (Спарк,ростелеком.комстар, эр-телеком, видикон)</t>
  </si>
  <si>
    <t>2020г.</t>
  </si>
  <si>
    <t>октября</t>
  </si>
  <si>
    <t>за   октябрь  2020 г.</t>
  </si>
  <si>
    <t>ост.на 01.11</t>
  </si>
  <si>
    <t xml:space="preserve">смена труб д 63 (12мп) </t>
  </si>
  <si>
    <t xml:space="preserve">смена фланцев д 50 (2шт) </t>
  </si>
  <si>
    <t>смена задвижки д 50 (1шт)</t>
  </si>
  <si>
    <t xml:space="preserve">смена труб д 25 (2мп) </t>
  </si>
  <si>
    <t xml:space="preserve">смена вентиля д 20 (1шт) </t>
  </si>
  <si>
    <t xml:space="preserve">смена труб д 40 (5мп) </t>
  </si>
  <si>
    <t>резьбы 50</t>
  </si>
  <si>
    <t>4шт</t>
  </si>
  <si>
    <t>муфта 75</t>
  </si>
  <si>
    <t>5шт</t>
  </si>
  <si>
    <t>уголок 75</t>
  </si>
  <si>
    <t>2шт</t>
  </si>
  <si>
    <t>фланец 50</t>
  </si>
  <si>
    <t>труба д 63</t>
  </si>
  <si>
    <t>12мп</t>
  </si>
  <si>
    <t>задвижка 50</t>
  </si>
  <si>
    <t>1шт</t>
  </si>
  <si>
    <t>болт, гайка</t>
  </si>
  <si>
    <t>10шт</t>
  </si>
  <si>
    <t>уголок 63</t>
  </si>
  <si>
    <t>3шт</t>
  </si>
  <si>
    <t>муфта 63</t>
  </si>
  <si>
    <t>7шт</t>
  </si>
  <si>
    <t>муфта комб. 63</t>
  </si>
  <si>
    <t>труба д 25</t>
  </si>
  <si>
    <t>муфта комб. 25</t>
  </si>
  <si>
    <t>муфта армир. 25</t>
  </si>
  <si>
    <t>уголок 25</t>
  </si>
  <si>
    <t>вентиль д 20</t>
  </si>
  <si>
    <t>уголок 32</t>
  </si>
  <si>
    <t>муфта комб. 32</t>
  </si>
  <si>
    <t>тройник 63</t>
  </si>
  <si>
    <t xml:space="preserve">смена труб д 89 (6мп) </t>
  </si>
  <si>
    <t>труба д 89</t>
  </si>
  <si>
    <t>6мп</t>
  </si>
  <si>
    <t>переход 70</t>
  </si>
  <si>
    <t>уголок 76/50</t>
  </si>
  <si>
    <t>круг отр.</t>
  </si>
  <si>
    <t>15шт</t>
  </si>
  <si>
    <t>электроды</t>
  </si>
  <si>
    <t>25 кг</t>
  </si>
  <si>
    <t>труба д 40</t>
  </si>
  <si>
    <t>5мп</t>
  </si>
  <si>
    <t>смена труб д 50 (1мп) кв 135</t>
  </si>
  <si>
    <t>труба д 50</t>
  </si>
  <si>
    <t>1мп</t>
  </si>
  <si>
    <t>отвод 110</t>
  </si>
  <si>
    <t>манжета 110</t>
  </si>
  <si>
    <t>тройник 110</t>
  </si>
  <si>
    <t>прочистка канализации</t>
  </si>
  <si>
    <t>смена труб д 63 (30мп)</t>
  </si>
  <si>
    <t>смена вентиля д 25 (2шт)</t>
  </si>
  <si>
    <t>смена труб д 32 (1мп)</t>
  </si>
  <si>
    <t>смена сгона д 50 (2шт)</t>
  </si>
  <si>
    <t>смена сгона д 15 (2шт)</t>
  </si>
  <si>
    <t>смена сгона д 25 (2шт)</t>
  </si>
  <si>
    <t xml:space="preserve">смена вентиля д 15 (2шт) </t>
  </si>
  <si>
    <t xml:space="preserve">смена труб д 20 (4мп) </t>
  </si>
  <si>
    <t>30мп</t>
  </si>
  <si>
    <t>вентиль д 25</t>
  </si>
  <si>
    <t>бочонок 25</t>
  </si>
  <si>
    <t>труба д 32</t>
  </si>
  <si>
    <t>уголок 20</t>
  </si>
  <si>
    <t>сгон 50</t>
  </si>
  <si>
    <t>муфта 50</t>
  </si>
  <si>
    <t>сгон 15</t>
  </si>
  <si>
    <t>сгон 25</t>
  </si>
  <si>
    <t>муфта комб. 20</t>
  </si>
  <si>
    <t>вентиль д 15</t>
  </si>
  <si>
    <t>труба 20</t>
  </si>
  <si>
    <t>4мп</t>
  </si>
  <si>
    <t>труба д 40 п.пр.</t>
  </si>
  <si>
    <t>смена замка (1шт) щитовая</t>
  </si>
  <si>
    <t>замок</t>
  </si>
  <si>
    <t>смена патрона (2шт) п-д 3</t>
  </si>
  <si>
    <t>смена ламп (7шт) п-д3</t>
  </si>
  <si>
    <t>провод</t>
  </si>
  <si>
    <t>патрон</t>
  </si>
  <si>
    <t>лампа</t>
  </si>
  <si>
    <t xml:space="preserve">смена ламп (5шт) </t>
  </si>
  <si>
    <t>смена провода (2мп)</t>
  </si>
  <si>
    <t xml:space="preserve">смена ламп (7шт) </t>
  </si>
  <si>
    <t>2мп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</si>
</sst>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="90" zoomScaleNormal="90" zoomScalePageLayoutView="0" workbookViewId="0" topLeftCell="A73">
      <selection activeCell="M109" sqref="M109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87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10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132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6">
        <f>L6*160.174*1.302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>
        <v>0</v>
      </c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>
        <v>0</v>
      </c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0</v>
      </c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/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15</v>
      </c>
      <c r="M17" s="46">
        <f t="shared" si="0"/>
        <v>3128.19822</v>
      </c>
    </row>
    <row r="18" spans="1:13" ht="12.75">
      <c r="A18" t="s">
        <v>100</v>
      </c>
      <c r="J18" s="15" t="s">
        <v>55</v>
      </c>
      <c r="K18" s="26" t="s">
        <v>54</v>
      </c>
      <c r="L18" s="21">
        <v>1.35</v>
      </c>
      <c r="M18" s="46">
        <f t="shared" si="0"/>
        <v>281.53783980000003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16.85</v>
      </c>
      <c r="M20" s="33">
        <f>SUM(M6:M19)</f>
        <v>3514.0093338000006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6">
        <f>0.12*133.04</f>
        <v>15.964799999999999</v>
      </c>
      <c r="M24" s="32">
        <f>L24*160.174*1.302*1.15</f>
        <v>3828.8145189369593</v>
      </c>
    </row>
    <row r="25" spans="1:13" ht="12.75">
      <c r="A25" t="s">
        <v>106</v>
      </c>
      <c r="J25" s="20">
        <v>2</v>
      </c>
      <c r="K25" s="20" t="s">
        <v>136</v>
      </c>
      <c r="L25" s="46">
        <f>2*0.96</f>
        <v>1.92</v>
      </c>
      <c r="M25" s="32">
        <f aca="true" t="shared" si="1" ref="M25:M50">L25*160.174*1.302*1.15</f>
        <v>460.470777984</v>
      </c>
    </row>
    <row r="26" spans="1:13" ht="13.5" customHeight="1">
      <c r="A26" t="s">
        <v>107</v>
      </c>
      <c r="J26" s="20">
        <v>3</v>
      </c>
      <c r="K26" s="20" t="s">
        <v>137</v>
      </c>
      <c r="L26" s="46">
        <f>0.01*308</f>
        <v>3.08</v>
      </c>
      <c r="M26" s="32">
        <f t="shared" si="1"/>
        <v>738.6718730160001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 t="s">
        <v>138</v>
      </c>
      <c r="L27" s="46">
        <f>0.02*133.04</f>
        <v>2.6608</v>
      </c>
      <c r="M27" s="32">
        <f t="shared" si="1"/>
        <v>638.13575315616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139</v>
      </c>
      <c r="L28" s="46">
        <v>0.81</v>
      </c>
      <c r="M28" s="32">
        <f t="shared" si="1"/>
        <v>194.261109462</v>
      </c>
    </row>
    <row r="29" spans="10:13" ht="12.75">
      <c r="J29" s="20">
        <v>6</v>
      </c>
      <c r="K29" s="20" t="s">
        <v>167</v>
      </c>
      <c r="L29" s="46">
        <f>0.06*174.8</f>
        <v>10.488</v>
      </c>
      <c r="M29" s="32">
        <f t="shared" si="1"/>
        <v>2515.3216247376</v>
      </c>
    </row>
    <row r="30" spans="2:13" ht="12.75">
      <c r="B30" t="s">
        <v>0</v>
      </c>
      <c r="J30" s="20">
        <v>7</v>
      </c>
      <c r="K30" s="20" t="s">
        <v>140</v>
      </c>
      <c r="L30" s="25">
        <f>0.05*133.04</f>
        <v>6.652</v>
      </c>
      <c r="M30" s="32">
        <f t="shared" si="1"/>
        <v>1595.3393828904</v>
      </c>
    </row>
    <row r="31" spans="10:13" ht="12.75">
      <c r="J31" s="20">
        <v>8</v>
      </c>
      <c r="K31" s="20" t="s">
        <v>178</v>
      </c>
      <c r="L31" s="25">
        <v>1.33</v>
      </c>
      <c r="M31" s="32">
        <f t="shared" si="1"/>
        <v>318.97194516600007</v>
      </c>
    </row>
    <row r="32" spans="1:13" ht="12.75">
      <c r="A32" t="s">
        <v>1</v>
      </c>
      <c r="E32">
        <v>2844.9</v>
      </c>
      <c r="F32" t="s">
        <v>65</v>
      </c>
      <c r="J32" s="20">
        <v>9</v>
      </c>
      <c r="K32" s="20" t="s">
        <v>184</v>
      </c>
      <c r="L32" s="25">
        <v>4.83</v>
      </c>
      <c r="M32" s="32">
        <f t="shared" si="1"/>
        <v>1158.371800866</v>
      </c>
    </row>
    <row r="33" spans="1:13" ht="12.75">
      <c r="A33" t="s">
        <v>2</v>
      </c>
      <c r="E33">
        <v>0</v>
      </c>
      <c r="F33" t="s">
        <v>65</v>
      </c>
      <c r="J33" s="20">
        <v>10</v>
      </c>
      <c r="K33" s="20" t="s">
        <v>185</v>
      </c>
      <c r="L33" s="25">
        <f>0.3*134.9</f>
        <v>40.47</v>
      </c>
      <c r="M33" s="32">
        <f t="shared" si="1"/>
        <v>9705.860617194001</v>
      </c>
    </row>
    <row r="34" spans="1:13" ht="12.75">
      <c r="A34" t="s">
        <v>3</v>
      </c>
      <c r="J34" s="20">
        <v>11</v>
      </c>
      <c r="K34" s="20" t="s">
        <v>186</v>
      </c>
      <c r="L34" s="46">
        <f>2*1.03</f>
        <v>2.06</v>
      </c>
      <c r="M34" s="32">
        <f t="shared" si="1"/>
        <v>494.04677221199995</v>
      </c>
    </row>
    <row r="35" spans="1:13" ht="12.75">
      <c r="A35" t="s">
        <v>4</v>
      </c>
      <c r="E35">
        <v>367</v>
      </c>
      <c r="F35" t="s">
        <v>65</v>
      </c>
      <c r="J35" s="20">
        <v>12</v>
      </c>
      <c r="K35" s="20" t="s">
        <v>187</v>
      </c>
      <c r="L35" s="25">
        <v>1.56</v>
      </c>
      <c r="M35" s="32">
        <f t="shared" si="1"/>
        <v>374.132507112</v>
      </c>
    </row>
    <row r="36" spans="10:13" ht="12.75">
      <c r="J36" s="20">
        <v>13</v>
      </c>
      <c r="K36" s="20" t="s">
        <v>188</v>
      </c>
      <c r="L36" s="25">
        <f>0.02*41.6</f>
        <v>0.8320000000000001</v>
      </c>
      <c r="M36" s="32">
        <f t="shared" si="1"/>
        <v>199.53733712640002</v>
      </c>
    </row>
    <row r="37" spans="2:13" ht="12.75">
      <c r="B37" s="1" t="s">
        <v>5</v>
      </c>
      <c r="C37" s="1"/>
      <c r="J37" s="20">
        <v>14</v>
      </c>
      <c r="K37" s="20" t="s">
        <v>189</v>
      </c>
      <c r="L37" s="25">
        <f>0.02*28.7</f>
        <v>0.574</v>
      </c>
      <c r="M37" s="32">
        <f t="shared" si="1"/>
        <v>137.6615763348</v>
      </c>
    </row>
    <row r="38" spans="10:13" ht="12.75">
      <c r="J38" s="20">
        <v>15</v>
      </c>
      <c r="K38" s="20" t="s">
        <v>190</v>
      </c>
      <c r="L38" s="25">
        <f>0.02*41.6</f>
        <v>0.8320000000000001</v>
      </c>
      <c r="M38" s="32">
        <f t="shared" si="1"/>
        <v>199.53733712640002</v>
      </c>
    </row>
    <row r="39" spans="1:13" ht="12.75">
      <c r="A39" s="2" t="s">
        <v>6</v>
      </c>
      <c r="F39" s="11">
        <f>42352.69-500</f>
        <v>41852.69</v>
      </c>
      <c r="J39" s="20">
        <v>16</v>
      </c>
      <c r="K39" s="20" t="s">
        <v>191</v>
      </c>
      <c r="L39" s="25">
        <v>1.62</v>
      </c>
      <c r="M39" s="32">
        <f t="shared" si="1"/>
        <v>388.522218924</v>
      </c>
    </row>
    <row r="40" spans="1:13" ht="12.75">
      <c r="A40" t="s">
        <v>7</v>
      </c>
      <c r="F40" s="5">
        <v>54756.32</v>
      </c>
      <c r="J40" s="20">
        <v>17</v>
      </c>
      <c r="K40" s="20" t="s">
        <v>192</v>
      </c>
      <c r="L40" s="25">
        <f>0.04*224.9</f>
        <v>8.996</v>
      </c>
      <c r="M40" s="32">
        <f t="shared" si="1"/>
        <v>2157.4974576792</v>
      </c>
    </row>
    <row r="41" spans="2:13" ht="12.75">
      <c r="B41" t="s">
        <v>8</v>
      </c>
      <c r="F41" s="9">
        <f>F40/F39</f>
        <v>1.3083106486106388</v>
      </c>
      <c r="J41" s="20">
        <v>18</v>
      </c>
      <c r="K41" s="20" t="s">
        <v>140</v>
      </c>
      <c r="L41" s="25">
        <f>0.05*156.46</f>
        <v>7.823</v>
      </c>
      <c r="M41" s="32">
        <f t="shared" si="1"/>
        <v>1876.1785917546</v>
      </c>
    </row>
    <row r="42" spans="1:13" ht="12.75">
      <c r="A42" t="s">
        <v>130</v>
      </c>
      <c r="F42" s="5">
        <f>250+250+400+400+105</f>
        <v>1405</v>
      </c>
      <c r="J42" s="20">
        <v>19</v>
      </c>
      <c r="K42" s="20" t="s">
        <v>207</v>
      </c>
      <c r="L42" s="25">
        <v>1.07</v>
      </c>
      <c r="M42" s="32">
        <f t="shared" si="1"/>
        <v>256.61652731400005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56161.32</v>
      </c>
      <c r="J43" s="20">
        <v>20</v>
      </c>
      <c r="K43" s="20" t="s">
        <v>209</v>
      </c>
      <c r="L43" s="25">
        <f>0.02*39.6</f>
        <v>0.792</v>
      </c>
      <c r="M43" s="32">
        <f t="shared" si="1"/>
        <v>189.9441959184</v>
      </c>
    </row>
    <row r="44" spans="10:13" ht="12.75">
      <c r="J44" s="20">
        <v>21</v>
      </c>
      <c r="K44" s="20" t="s">
        <v>210</v>
      </c>
      <c r="L44" s="25">
        <f>0.07*7.1</f>
        <v>0.497</v>
      </c>
      <c r="M44" s="32">
        <f t="shared" si="1"/>
        <v>119.1947795094</v>
      </c>
    </row>
    <row r="45" spans="2:13" ht="12.75">
      <c r="B45" s="1" t="s">
        <v>10</v>
      </c>
      <c r="C45" s="1"/>
      <c r="J45" s="20">
        <v>22</v>
      </c>
      <c r="K45" s="20" t="s">
        <v>214</v>
      </c>
      <c r="L45" s="25">
        <v>0.35</v>
      </c>
      <c r="M45" s="32">
        <f t="shared" si="1"/>
        <v>83.93998556999999</v>
      </c>
    </row>
    <row r="46" spans="10:13" ht="12.75">
      <c r="J46" s="20">
        <v>23</v>
      </c>
      <c r="K46" s="20" t="s">
        <v>215</v>
      </c>
      <c r="L46" s="25">
        <f>0.02*19</f>
        <v>0.38</v>
      </c>
      <c r="M46" s="32">
        <f t="shared" si="1"/>
        <v>91.13484147599999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24</v>
      </c>
      <c r="K47" s="20" t="s">
        <v>216</v>
      </c>
      <c r="L47" s="25">
        <f>0.07*7.1</f>
        <v>0.497</v>
      </c>
      <c r="M47" s="32">
        <f t="shared" si="1"/>
        <v>119.1947795094</v>
      </c>
    </row>
    <row r="48" spans="1:13" ht="12.75">
      <c r="A48" t="s">
        <v>12</v>
      </c>
      <c r="F48" s="11">
        <f>6097.52*1.302</f>
        <v>7938.971040000001</v>
      </c>
      <c r="J48" s="20">
        <v>25</v>
      </c>
      <c r="K48" s="20"/>
      <c r="L48" s="25"/>
      <c r="M48" s="32">
        <f t="shared" si="1"/>
        <v>0</v>
      </c>
    </row>
    <row r="49" spans="1:13" ht="12.75">
      <c r="A49" s="6" t="s">
        <v>15</v>
      </c>
      <c r="F49" s="11">
        <f>(2080)*1.302</f>
        <v>2708.1600000000003</v>
      </c>
      <c r="J49" s="20">
        <v>26</v>
      </c>
      <c r="K49" s="20"/>
      <c r="L49" s="25"/>
      <c r="M49" s="32">
        <f t="shared" si="1"/>
        <v>0</v>
      </c>
    </row>
    <row r="50" spans="1:13" ht="12.75">
      <c r="A50" s="55" t="s">
        <v>82</v>
      </c>
      <c r="B50" s="56"/>
      <c r="C50" s="56"/>
      <c r="D50" s="56"/>
      <c r="E50" s="57">
        <v>0</v>
      </c>
      <c r="F50" s="58">
        <f>E50*E32</f>
        <v>0</v>
      </c>
      <c r="J50" s="20">
        <v>27</v>
      </c>
      <c r="K50" s="20"/>
      <c r="L50" s="25"/>
      <c r="M50" s="32">
        <f t="shared" si="1"/>
        <v>0</v>
      </c>
    </row>
    <row r="51" spans="1:13" ht="12.75">
      <c r="A51" s="4" t="s">
        <v>33</v>
      </c>
      <c r="F51" s="31">
        <f>F48+F49+F50</f>
        <v>10647.131040000002</v>
      </c>
      <c r="J51" s="20"/>
      <c r="K51" s="29" t="s">
        <v>57</v>
      </c>
      <c r="L51" s="28">
        <f>SUM(L24:L50)</f>
        <v>116.08859999999996</v>
      </c>
      <c r="M51" s="33">
        <f>SUM(M24:M50)</f>
        <v>27841.358310975724</v>
      </c>
    </row>
    <row r="52" spans="1:11" ht="12.75">
      <c r="A52" s="4" t="s">
        <v>16</v>
      </c>
      <c r="K52" s="1" t="s">
        <v>61</v>
      </c>
    </row>
    <row r="53" spans="1:13" ht="12.75">
      <c r="A53" t="s">
        <v>74</v>
      </c>
      <c r="C53" s="13"/>
      <c r="D53" s="45">
        <v>0</v>
      </c>
      <c r="E53" s="13" t="s">
        <v>14</v>
      </c>
      <c r="F53" s="11">
        <f>D53*E32</f>
        <v>0</v>
      </c>
      <c r="J53" s="22" t="s">
        <v>35</v>
      </c>
      <c r="K53" s="22"/>
      <c r="L53" s="22" t="s">
        <v>62</v>
      </c>
      <c r="M53" s="22" t="s">
        <v>41</v>
      </c>
    </row>
    <row r="54" spans="1:13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/>
      <c r="J54" s="23" t="s">
        <v>36</v>
      </c>
      <c r="K54" s="23" t="s">
        <v>37</v>
      </c>
      <c r="L54" s="23"/>
      <c r="M54" s="23" t="s">
        <v>63</v>
      </c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</v>
      </c>
      <c r="K55" s="20" t="s">
        <v>141</v>
      </c>
      <c r="L55" s="25" t="s">
        <v>142</v>
      </c>
      <c r="M55" s="46">
        <f>4*108</f>
        <v>432</v>
      </c>
    </row>
    <row r="56" spans="1:13" ht="12.75">
      <c r="A56" s="4" t="s">
        <v>18</v>
      </c>
      <c r="B56" s="4"/>
      <c r="J56" s="20">
        <v>2</v>
      </c>
      <c r="K56" s="20" t="s">
        <v>143</v>
      </c>
      <c r="L56" s="46" t="s">
        <v>144</v>
      </c>
      <c r="M56" s="25">
        <f>5*123.6</f>
        <v>618</v>
      </c>
    </row>
    <row r="57" spans="1:13" ht="12.75">
      <c r="A57" t="s">
        <v>19</v>
      </c>
      <c r="C57" s="47">
        <v>304687</v>
      </c>
      <c r="D57">
        <v>224780.6</v>
      </c>
      <c r="E57">
        <v>2844.9</v>
      </c>
      <c r="F57" s="34">
        <f>C57/D57*E57</f>
        <v>3856.2226735759227</v>
      </c>
      <c r="J57" s="20">
        <v>3</v>
      </c>
      <c r="K57" s="20" t="s">
        <v>145</v>
      </c>
      <c r="L57" s="46" t="s">
        <v>146</v>
      </c>
      <c r="M57" s="25">
        <f>2*275</f>
        <v>550</v>
      </c>
    </row>
    <row r="58" spans="1:13" ht="12.75">
      <c r="A58" t="s">
        <v>20</v>
      </c>
      <c r="F58" s="34">
        <f>M20</f>
        <v>3514.0093338000006</v>
      </c>
      <c r="J58" s="20">
        <v>4</v>
      </c>
      <c r="K58" s="20" t="s">
        <v>147</v>
      </c>
      <c r="L58" s="25" t="s">
        <v>146</v>
      </c>
      <c r="M58" s="25">
        <f>2*630</f>
        <v>1260</v>
      </c>
    </row>
    <row r="59" spans="1:13" ht="12.75">
      <c r="A59" t="s">
        <v>21</v>
      </c>
      <c r="F59" s="11">
        <f>0*600*1.302</f>
        <v>0</v>
      </c>
      <c r="J59" s="20">
        <v>5</v>
      </c>
      <c r="K59" s="20" t="s">
        <v>148</v>
      </c>
      <c r="L59" s="25" t="s">
        <v>149</v>
      </c>
      <c r="M59" s="25">
        <f>12*537</f>
        <v>6444</v>
      </c>
    </row>
    <row r="60" spans="1:13" ht="12.75">
      <c r="A60" t="s">
        <v>71</v>
      </c>
      <c r="F60" s="5">
        <f>3*600*1.302</f>
        <v>2343.6</v>
      </c>
      <c r="J60" s="20">
        <v>6</v>
      </c>
      <c r="K60" s="20" t="s">
        <v>150</v>
      </c>
      <c r="L60" s="25" t="s">
        <v>151</v>
      </c>
      <c r="M60" s="25">
        <v>2480.37</v>
      </c>
    </row>
    <row r="61" spans="1:13" ht="12.75">
      <c r="A61" t="s">
        <v>22</v>
      </c>
      <c r="F61" s="11">
        <f>M113</f>
        <v>50399.81999999999</v>
      </c>
      <c r="J61" s="20">
        <v>7</v>
      </c>
      <c r="K61" s="20" t="s">
        <v>152</v>
      </c>
      <c r="L61" s="25" t="s">
        <v>153</v>
      </c>
      <c r="M61" s="25">
        <f>(10*28.7)+(10*9.7)</f>
        <v>384</v>
      </c>
    </row>
    <row r="62" spans="1:13" ht="12.75">
      <c r="A62" t="s">
        <v>23</v>
      </c>
      <c r="F62" s="5"/>
      <c r="J62" s="20">
        <v>8</v>
      </c>
      <c r="K62" s="20" t="s">
        <v>154</v>
      </c>
      <c r="L62" s="25" t="s">
        <v>155</v>
      </c>
      <c r="M62" s="25">
        <f>3*80</f>
        <v>240</v>
      </c>
    </row>
    <row r="63" spans="1:13" ht="12.75">
      <c r="A63" t="s">
        <v>24</v>
      </c>
      <c r="F63" s="5"/>
      <c r="J63" s="20">
        <v>9</v>
      </c>
      <c r="K63" s="52" t="s">
        <v>156</v>
      </c>
      <c r="L63" s="25" t="s">
        <v>157</v>
      </c>
      <c r="M63" s="25">
        <f>7*43</f>
        <v>301</v>
      </c>
    </row>
    <row r="64" spans="2:13" ht="12.75">
      <c r="B64">
        <v>2844.9</v>
      </c>
      <c r="C64" t="s">
        <v>13</v>
      </c>
      <c r="D64" s="11">
        <v>0.43</v>
      </c>
      <c r="E64" t="s">
        <v>14</v>
      </c>
      <c r="F64" s="11">
        <f>B64*D64</f>
        <v>1223.307</v>
      </c>
      <c r="J64" s="20">
        <v>10</v>
      </c>
      <c r="K64" s="20" t="s">
        <v>158</v>
      </c>
      <c r="L64" s="25" t="s">
        <v>146</v>
      </c>
      <c r="M64" s="25">
        <f>2*580</f>
        <v>1160</v>
      </c>
    </row>
    <row r="65" spans="1:13" ht="12.75">
      <c r="A65" s="56" t="s">
        <v>83</v>
      </c>
      <c r="B65" s="56"/>
      <c r="C65" s="56"/>
      <c r="D65" s="58"/>
      <c r="E65" s="56"/>
      <c r="F65" s="58">
        <f>D65*E32</f>
        <v>0</v>
      </c>
      <c r="J65" s="20">
        <v>11</v>
      </c>
      <c r="K65" s="20" t="s">
        <v>159</v>
      </c>
      <c r="L65" s="25" t="s">
        <v>146</v>
      </c>
      <c r="M65" s="25">
        <f>2*83</f>
        <v>166</v>
      </c>
    </row>
    <row r="66" spans="1:13" ht="12.75">
      <c r="A66" s="4" t="s">
        <v>25</v>
      </c>
      <c r="B66" s="10"/>
      <c r="C66" s="10"/>
      <c r="D66">
        <v>0</v>
      </c>
      <c r="F66" s="31">
        <f>SUM(F57:F65)</f>
        <v>61336.95900737592</v>
      </c>
      <c r="J66" s="20">
        <v>12</v>
      </c>
      <c r="K66" s="20" t="s">
        <v>160</v>
      </c>
      <c r="L66" s="25" t="s">
        <v>151</v>
      </c>
      <c r="M66" s="25">
        <v>72</v>
      </c>
    </row>
    <row r="67" spans="1:13" ht="12.75">
      <c r="A67" s="4" t="s">
        <v>26</v>
      </c>
      <c r="F67" s="5"/>
      <c r="J67" s="20">
        <v>13</v>
      </c>
      <c r="K67" s="20" t="s">
        <v>161</v>
      </c>
      <c r="L67" s="25" t="s">
        <v>151</v>
      </c>
      <c r="M67" s="25">
        <v>126</v>
      </c>
    </row>
    <row r="68" spans="1:13" ht="12.75">
      <c r="A68" t="s">
        <v>27</v>
      </c>
      <c r="B68">
        <v>2844.9</v>
      </c>
      <c r="C68" t="s">
        <v>65</v>
      </c>
      <c r="D68" s="5">
        <v>0.24</v>
      </c>
      <c r="E68" t="s">
        <v>14</v>
      </c>
      <c r="F68" s="11">
        <f>B68*D68</f>
        <v>682.776</v>
      </c>
      <c r="J68" s="20">
        <v>14</v>
      </c>
      <c r="K68" s="20" t="s">
        <v>162</v>
      </c>
      <c r="L68" s="25" t="s">
        <v>155</v>
      </c>
      <c r="M68" s="25">
        <f>3*6</f>
        <v>18</v>
      </c>
    </row>
    <row r="69" spans="1:13" ht="12.75">
      <c r="A69" t="s">
        <v>28</v>
      </c>
      <c r="F69" s="5"/>
      <c r="J69" s="20">
        <v>15</v>
      </c>
      <c r="K69" s="20" t="s">
        <v>163</v>
      </c>
      <c r="L69" s="25" t="s">
        <v>151</v>
      </c>
      <c r="M69" s="25">
        <v>443.36</v>
      </c>
    </row>
    <row r="70" spans="1:13" ht="12.75">
      <c r="A70" s="7" t="s">
        <v>72</v>
      </c>
      <c r="F70" s="5"/>
      <c r="J70" s="20">
        <v>16</v>
      </c>
      <c r="K70" s="20" t="s">
        <v>164</v>
      </c>
      <c r="L70" s="25" t="s">
        <v>151</v>
      </c>
      <c r="M70" s="25">
        <v>18</v>
      </c>
    </row>
    <row r="71" spans="2:13" ht="12.75">
      <c r="B71">
        <v>2844.9</v>
      </c>
      <c r="C71" t="s">
        <v>13</v>
      </c>
      <c r="D71" s="11">
        <v>0.94</v>
      </c>
      <c r="E71" t="s">
        <v>14</v>
      </c>
      <c r="F71" s="11">
        <f>B71*D71</f>
        <v>2674.206</v>
      </c>
      <c r="J71" s="20">
        <v>17</v>
      </c>
      <c r="K71" s="20" t="s">
        <v>165</v>
      </c>
      <c r="L71" s="25" t="s">
        <v>151</v>
      </c>
      <c r="M71" s="25">
        <v>137</v>
      </c>
    </row>
    <row r="72" spans="1:13" ht="12.75">
      <c r="A72" s="4" t="s">
        <v>29</v>
      </c>
      <c r="F72" s="31">
        <f>F68+F71</f>
        <v>3356.982</v>
      </c>
      <c r="J72" s="20">
        <v>18</v>
      </c>
      <c r="K72" s="20" t="s">
        <v>166</v>
      </c>
      <c r="L72" s="25" t="s">
        <v>146</v>
      </c>
      <c r="M72" s="25">
        <f>2*86</f>
        <v>172</v>
      </c>
    </row>
    <row r="73" spans="1:13" ht="12.75">
      <c r="A73" s="4" t="s">
        <v>30</v>
      </c>
      <c r="J73" s="20">
        <v>19</v>
      </c>
      <c r="K73" s="20" t="s">
        <v>168</v>
      </c>
      <c r="L73" s="25" t="s">
        <v>169</v>
      </c>
      <c r="M73" s="25">
        <f>56*42.8</f>
        <v>2396.7999999999997</v>
      </c>
    </row>
    <row r="74" spans="1:13" ht="12.75">
      <c r="A74" s="7" t="s">
        <v>73</v>
      </c>
      <c r="B74" s="7"/>
      <c r="C74" s="7"/>
      <c r="D74" s="7"/>
      <c r="E74" s="7"/>
      <c r="F74" s="7"/>
      <c r="J74" s="20">
        <v>20</v>
      </c>
      <c r="K74" s="20" t="s">
        <v>170</v>
      </c>
      <c r="L74" s="25" t="s">
        <v>151</v>
      </c>
      <c r="M74" s="25">
        <v>70</v>
      </c>
    </row>
    <row r="75" spans="2:13" ht="12.75">
      <c r="B75">
        <v>2844.9</v>
      </c>
      <c r="C75" t="s">
        <v>13</v>
      </c>
      <c r="D75" s="11">
        <v>1.54</v>
      </c>
      <c r="E75" t="s">
        <v>14</v>
      </c>
      <c r="F75" s="11">
        <f>B75*D75</f>
        <v>4381.146000000001</v>
      </c>
      <c r="J75" s="20">
        <v>21</v>
      </c>
      <c r="K75" s="20" t="s">
        <v>171</v>
      </c>
      <c r="L75" s="25" t="s">
        <v>146</v>
      </c>
      <c r="M75" s="25">
        <f>2*800</f>
        <v>1600</v>
      </c>
    </row>
    <row r="76" spans="1:13" ht="12.75">
      <c r="A76" s="4" t="s">
        <v>31</v>
      </c>
      <c r="F76" s="31">
        <f>SUM(F75)</f>
        <v>4381.146000000001</v>
      </c>
      <c r="J76" s="20">
        <v>22</v>
      </c>
      <c r="K76" s="20" t="s">
        <v>172</v>
      </c>
      <c r="L76" s="25" t="s">
        <v>173</v>
      </c>
      <c r="M76" s="25">
        <f>15*27.75</f>
        <v>416.25</v>
      </c>
    </row>
    <row r="77" spans="1:13" ht="12.75">
      <c r="A77" s="59" t="s">
        <v>77</v>
      </c>
      <c r="B77" s="56"/>
      <c r="C77" s="56"/>
      <c r="D77" s="57">
        <v>0</v>
      </c>
      <c r="E77" s="56"/>
      <c r="F77" s="60">
        <f>D77*E32</f>
        <v>0</v>
      </c>
      <c r="J77" s="20">
        <v>23</v>
      </c>
      <c r="K77" s="20" t="s">
        <v>174</v>
      </c>
      <c r="L77" s="25" t="s">
        <v>175</v>
      </c>
      <c r="M77" s="25">
        <f>25*174.76</f>
        <v>4369</v>
      </c>
    </row>
    <row r="78" spans="1:13" ht="12.75">
      <c r="A78" s="1" t="s">
        <v>32</v>
      </c>
      <c r="B78" s="1"/>
      <c r="F78" s="31">
        <f>F51+F55+F66+F72+F76+F77</f>
        <v>79722.21804737594</v>
      </c>
      <c r="J78" s="20">
        <v>24</v>
      </c>
      <c r="K78" s="20" t="s">
        <v>176</v>
      </c>
      <c r="L78" s="25" t="s">
        <v>177</v>
      </c>
      <c r="M78" s="25">
        <f>5*275.33</f>
        <v>1376.6499999999999</v>
      </c>
    </row>
    <row r="79" spans="1:13" ht="12.75">
      <c r="A79" s="1" t="s">
        <v>75</v>
      </c>
      <c r="B79" s="35"/>
      <c r="C79" s="35">
        <v>0.03</v>
      </c>
      <c r="D79" s="1"/>
      <c r="E79" s="1"/>
      <c r="F79" s="31">
        <f>F78*3%</f>
        <v>2391.666541421278</v>
      </c>
      <c r="J79" s="20">
        <v>25</v>
      </c>
      <c r="K79" s="20" t="s">
        <v>179</v>
      </c>
      <c r="L79" s="25" t="s">
        <v>180</v>
      </c>
      <c r="M79" s="25">
        <v>63</v>
      </c>
    </row>
    <row r="80" spans="1:13" ht="12.75">
      <c r="A80" s="1"/>
      <c r="B80" s="35" t="s">
        <v>127</v>
      </c>
      <c r="C80" s="35"/>
      <c r="D80" s="1"/>
      <c r="E80" s="53"/>
      <c r="F80" s="54">
        <v>1838.62</v>
      </c>
      <c r="J80" s="20">
        <v>26</v>
      </c>
      <c r="K80" s="20" t="s">
        <v>181</v>
      </c>
      <c r="L80" s="25" t="s">
        <v>146</v>
      </c>
      <c r="M80" s="25">
        <f>2*90</f>
        <v>180</v>
      </c>
    </row>
    <row r="81" spans="1:13" ht="12.75">
      <c r="A81" s="1"/>
      <c r="B81" s="35" t="s">
        <v>128</v>
      </c>
      <c r="C81" s="35"/>
      <c r="D81" s="1"/>
      <c r="E81" s="53"/>
      <c r="F81" s="54">
        <v>371.55</v>
      </c>
      <c r="J81" s="20">
        <v>27</v>
      </c>
      <c r="K81" s="20" t="s">
        <v>182</v>
      </c>
      <c r="L81" s="25" t="s">
        <v>151</v>
      </c>
      <c r="M81" s="25">
        <v>43</v>
      </c>
    </row>
    <row r="82" spans="1:13" ht="12.75">
      <c r="A82" s="1"/>
      <c r="B82" s="35" t="s">
        <v>129</v>
      </c>
      <c r="C82" s="35"/>
      <c r="D82" s="1"/>
      <c r="E82" s="53"/>
      <c r="F82" s="54">
        <f>2020.82+383.05</f>
        <v>2403.87</v>
      </c>
      <c r="J82" s="20">
        <v>28</v>
      </c>
      <c r="K82" s="20" t="s">
        <v>183</v>
      </c>
      <c r="L82" s="25" t="s">
        <v>151</v>
      </c>
      <c r="M82" s="25">
        <v>105</v>
      </c>
    </row>
    <row r="83" spans="1:13" ht="15">
      <c r="A83" s="12" t="s">
        <v>34</v>
      </c>
      <c r="B83" s="12"/>
      <c r="C83" s="44"/>
      <c r="D83" s="44"/>
      <c r="E83" s="44"/>
      <c r="F83" s="41">
        <f>F78+F79+F80+F81+F82</f>
        <v>86727.9245887972</v>
      </c>
      <c r="J83" s="20">
        <v>29</v>
      </c>
      <c r="K83" s="20" t="s">
        <v>148</v>
      </c>
      <c r="L83" s="25" t="s">
        <v>193</v>
      </c>
      <c r="M83" s="25">
        <f>30*537</f>
        <v>16110</v>
      </c>
    </row>
    <row r="84" spans="2:13" ht="12.75">
      <c r="B84" s="36" t="s">
        <v>67</v>
      </c>
      <c r="C84" s="37" t="s">
        <v>68</v>
      </c>
      <c r="D84" s="22" t="s">
        <v>69</v>
      </c>
      <c r="E84" s="22" t="s">
        <v>70</v>
      </c>
      <c r="F84" s="40" t="s">
        <v>134</v>
      </c>
      <c r="I84" s="7"/>
      <c r="J84" s="20">
        <v>30</v>
      </c>
      <c r="K84" s="20" t="s">
        <v>158</v>
      </c>
      <c r="L84" s="25" t="s">
        <v>146</v>
      </c>
      <c r="M84" s="25">
        <f>2*580</f>
        <v>1160</v>
      </c>
    </row>
    <row r="85" spans="1:13" ht="12.75">
      <c r="A85" s="13"/>
      <c r="B85" s="38">
        <v>44470</v>
      </c>
      <c r="C85" s="39">
        <v>-734881</v>
      </c>
      <c r="D85" s="42">
        <f>F43</f>
        <v>56161.32</v>
      </c>
      <c r="E85" s="42">
        <f>F83</f>
        <v>86727.9245887972</v>
      </c>
      <c r="F85" s="43">
        <f>C85+D85-E85</f>
        <v>-765447.6045887973</v>
      </c>
      <c r="J85" s="20">
        <v>31</v>
      </c>
      <c r="K85" s="20" t="s">
        <v>154</v>
      </c>
      <c r="L85" s="25" t="s">
        <v>157</v>
      </c>
      <c r="M85" s="25">
        <f>7*80</f>
        <v>560</v>
      </c>
    </row>
    <row r="86" spans="10:13" ht="12.75">
      <c r="J86" s="20">
        <v>32</v>
      </c>
      <c r="K86" s="20" t="s">
        <v>166</v>
      </c>
      <c r="L86" s="25" t="s">
        <v>155</v>
      </c>
      <c r="M86" s="25">
        <f>3*86</f>
        <v>258</v>
      </c>
    </row>
    <row r="87" spans="1:13" ht="13.5" thickBot="1">
      <c r="A87" t="s">
        <v>111</v>
      </c>
      <c r="C87" s="49">
        <v>44105</v>
      </c>
      <c r="D87" s="8" t="s">
        <v>112</v>
      </c>
      <c r="E87" s="49">
        <v>44135</v>
      </c>
      <c r="F87" t="s">
        <v>113</v>
      </c>
      <c r="J87" s="20">
        <v>33</v>
      </c>
      <c r="K87" s="20" t="s">
        <v>194</v>
      </c>
      <c r="L87" s="25" t="s">
        <v>146</v>
      </c>
      <c r="M87" s="25">
        <f>2*687</f>
        <v>1374</v>
      </c>
    </row>
    <row r="88" spans="1:13" ht="13.5" thickBot="1">
      <c r="A88" t="s">
        <v>114</v>
      </c>
      <c r="F88" s="50">
        <f>E85</f>
        <v>86727.9245887972</v>
      </c>
      <c r="G88" t="s">
        <v>14</v>
      </c>
      <c r="J88" s="20">
        <v>34</v>
      </c>
      <c r="K88" s="20" t="s">
        <v>195</v>
      </c>
      <c r="L88" s="25" t="s">
        <v>146</v>
      </c>
      <c r="M88" s="25">
        <f>2*23</f>
        <v>46</v>
      </c>
    </row>
    <row r="89" spans="1:13" ht="12.75">
      <c r="A89" t="s">
        <v>115</v>
      </c>
      <c r="J89" s="20">
        <v>35</v>
      </c>
      <c r="K89" s="20" t="s">
        <v>165</v>
      </c>
      <c r="L89" s="25" t="s">
        <v>146</v>
      </c>
      <c r="M89" s="25">
        <f>2*137</f>
        <v>274</v>
      </c>
    </row>
    <row r="90" spans="1:13" ht="12.75">
      <c r="A90" t="s">
        <v>116</v>
      </c>
      <c r="J90" s="20">
        <v>36</v>
      </c>
      <c r="K90" s="20" t="s">
        <v>164</v>
      </c>
      <c r="L90" s="25" t="s">
        <v>142</v>
      </c>
      <c r="M90" s="25">
        <f>4*18</f>
        <v>72</v>
      </c>
    </row>
    <row r="91" spans="1:13" ht="12.75">
      <c r="A91" t="s">
        <v>117</v>
      </c>
      <c r="J91" s="20">
        <v>37</v>
      </c>
      <c r="K91" s="20" t="s">
        <v>196</v>
      </c>
      <c r="L91" s="25" t="s">
        <v>151</v>
      </c>
      <c r="M91" s="25">
        <v>182</v>
      </c>
    </row>
    <row r="92" spans="1:13" ht="12.75">
      <c r="A92" t="s">
        <v>118</v>
      </c>
      <c r="J92" s="20">
        <v>38</v>
      </c>
      <c r="K92" s="20" t="s">
        <v>197</v>
      </c>
      <c r="L92" s="25" t="s">
        <v>142</v>
      </c>
      <c r="M92" s="25">
        <f>4*8</f>
        <v>32</v>
      </c>
    </row>
    <row r="93" spans="1:13" ht="12.75">
      <c r="A93" t="s">
        <v>119</v>
      </c>
      <c r="J93" s="20">
        <v>39</v>
      </c>
      <c r="K93" s="20" t="s">
        <v>198</v>
      </c>
      <c r="L93" s="25" t="s">
        <v>146</v>
      </c>
      <c r="M93" s="25">
        <f>2*423.3</f>
        <v>846.6</v>
      </c>
    </row>
    <row r="94" spans="1:13" ht="12.75">
      <c r="A94" t="s">
        <v>120</v>
      </c>
      <c r="J94" s="20">
        <v>40</v>
      </c>
      <c r="K94" s="20" t="s">
        <v>199</v>
      </c>
      <c r="L94" s="25" t="s">
        <v>146</v>
      </c>
      <c r="M94" s="25">
        <f>2*177</f>
        <v>354</v>
      </c>
    </row>
    <row r="95" spans="1:13" ht="12.75">
      <c r="A95" t="s">
        <v>121</v>
      </c>
      <c r="J95" s="20">
        <v>41</v>
      </c>
      <c r="K95" s="20" t="s">
        <v>200</v>
      </c>
      <c r="L95" s="25" t="s">
        <v>146</v>
      </c>
      <c r="M95" s="25">
        <f>2*34</f>
        <v>68</v>
      </c>
    </row>
    <row r="96" spans="10:13" ht="12.75">
      <c r="J96" s="20">
        <v>42</v>
      </c>
      <c r="K96" s="20" t="s">
        <v>201</v>
      </c>
      <c r="L96" s="25" t="s">
        <v>146</v>
      </c>
      <c r="M96" s="25">
        <f>2*52</f>
        <v>104</v>
      </c>
    </row>
    <row r="97" spans="2:13" ht="12.75">
      <c r="B97" t="s">
        <v>122</v>
      </c>
      <c r="J97" s="20">
        <v>43</v>
      </c>
      <c r="K97" s="20" t="s">
        <v>202</v>
      </c>
      <c r="L97" s="25" t="s">
        <v>146</v>
      </c>
      <c r="M97" s="25">
        <v>102</v>
      </c>
    </row>
    <row r="98" spans="10:13" ht="12.75">
      <c r="J98" s="20">
        <v>44</v>
      </c>
      <c r="K98" s="20" t="s">
        <v>203</v>
      </c>
      <c r="L98" s="25" t="s">
        <v>146</v>
      </c>
      <c r="M98" s="25">
        <f>2*300</f>
        <v>600</v>
      </c>
    </row>
    <row r="99" spans="1:13" ht="12.75">
      <c r="A99" t="s">
        <v>123</v>
      </c>
      <c r="J99" s="20">
        <v>45</v>
      </c>
      <c r="K99" s="20" t="s">
        <v>204</v>
      </c>
      <c r="L99" s="25" t="s">
        <v>205</v>
      </c>
      <c r="M99" s="25">
        <f>4*58</f>
        <v>232</v>
      </c>
    </row>
    <row r="100" spans="10:13" ht="12.75">
      <c r="J100" s="20">
        <v>46</v>
      </c>
      <c r="K100" s="20" t="s">
        <v>172</v>
      </c>
      <c r="L100" s="25" t="s">
        <v>153</v>
      </c>
      <c r="M100" s="25">
        <f>10*27.785</f>
        <v>277.85</v>
      </c>
    </row>
    <row r="101" spans="10:13" ht="12.75">
      <c r="J101" s="20">
        <v>47</v>
      </c>
      <c r="K101" s="20" t="s">
        <v>206</v>
      </c>
      <c r="L101" s="25" t="s">
        <v>177</v>
      </c>
      <c r="M101" s="25">
        <f>5*275.33</f>
        <v>1376.6499999999999</v>
      </c>
    </row>
    <row r="102" spans="1:13" ht="12.75">
      <c r="A102" t="s">
        <v>124</v>
      </c>
      <c r="J102" s="20">
        <v>48</v>
      </c>
      <c r="K102" s="20" t="s">
        <v>208</v>
      </c>
      <c r="L102" s="25" t="s">
        <v>151</v>
      </c>
      <c r="M102" s="25">
        <v>392.19</v>
      </c>
    </row>
    <row r="103" spans="10:13" ht="12.75">
      <c r="J103" s="20">
        <v>49</v>
      </c>
      <c r="K103" s="20" t="s">
        <v>211</v>
      </c>
      <c r="L103" s="25" t="s">
        <v>180</v>
      </c>
      <c r="M103" s="25">
        <v>27.1</v>
      </c>
    </row>
    <row r="104" spans="1:13" ht="12.75">
      <c r="A104" t="s">
        <v>125</v>
      </c>
      <c r="J104" s="20">
        <v>50</v>
      </c>
      <c r="K104" s="20" t="s">
        <v>212</v>
      </c>
      <c r="L104" s="25" t="s">
        <v>146</v>
      </c>
      <c r="M104" s="25">
        <f>2*17.7</f>
        <v>35.4</v>
      </c>
    </row>
    <row r="105" spans="10:13" ht="12.75">
      <c r="J105" s="20">
        <v>51</v>
      </c>
      <c r="K105" s="20" t="s">
        <v>213</v>
      </c>
      <c r="L105" s="25" t="s">
        <v>157</v>
      </c>
      <c r="M105" s="25">
        <f>7*11.6</f>
        <v>81.2</v>
      </c>
    </row>
    <row r="106" spans="10:13" ht="12.75">
      <c r="J106" s="20">
        <v>52</v>
      </c>
      <c r="K106" s="20" t="s">
        <v>213</v>
      </c>
      <c r="L106" s="25" t="s">
        <v>144</v>
      </c>
      <c r="M106" s="25">
        <f>5*11.6</f>
        <v>58</v>
      </c>
    </row>
    <row r="107" spans="7:13" ht="12.75">
      <c r="G107" s="7"/>
      <c r="H107" s="7"/>
      <c r="J107" s="20">
        <v>53</v>
      </c>
      <c r="K107" s="20" t="s">
        <v>211</v>
      </c>
      <c r="L107" s="25" t="s">
        <v>217</v>
      </c>
      <c r="M107" s="25">
        <f>2*27.1</f>
        <v>54.2</v>
      </c>
    </row>
    <row r="108" spans="10:13" ht="12.75">
      <c r="J108" s="20">
        <v>54</v>
      </c>
      <c r="K108" s="20" t="s">
        <v>213</v>
      </c>
      <c r="L108" s="25" t="s">
        <v>157</v>
      </c>
      <c r="M108" s="25">
        <f>7*11.6</f>
        <v>81.2</v>
      </c>
    </row>
    <row r="109" spans="10:13" ht="12.75">
      <c r="J109" s="20">
        <v>55</v>
      </c>
      <c r="K109" s="20"/>
      <c r="L109" s="25"/>
      <c r="M109" s="25"/>
    </row>
    <row r="110" spans="10:13" ht="12.75">
      <c r="J110" s="20">
        <v>56</v>
      </c>
      <c r="K110" s="20"/>
      <c r="L110" s="25"/>
      <c r="M110" s="25"/>
    </row>
    <row r="111" spans="10:13" ht="12.75">
      <c r="J111" s="20">
        <v>57</v>
      </c>
      <c r="K111" s="20"/>
      <c r="L111" s="25"/>
      <c r="M111" s="25"/>
    </row>
    <row r="112" spans="10:13" ht="12.75">
      <c r="J112" s="20">
        <v>58</v>
      </c>
      <c r="K112" s="20"/>
      <c r="L112" s="25"/>
      <c r="M112" s="25"/>
    </row>
    <row r="113" spans="10:13" ht="12.75">
      <c r="J113" s="20"/>
      <c r="K113" s="20"/>
      <c r="L113" s="30" t="s">
        <v>64</v>
      </c>
      <c r="M113" s="33">
        <f>SUM(M55:M112)</f>
        <v>50399.81999999999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2020-09-12T14:11:11Z</cp:lastPrinted>
  <dcterms:created xsi:type="dcterms:W3CDTF">2008-08-18T07:30:19Z</dcterms:created>
  <dcterms:modified xsi:type="dcterms:W3CDTF">2021-02-15T06:16:30Z</dcterms:modified>
  <cp:category/>
  <cp:version/>
  <cp:contentType/>
  <cp:contentStatus/>
</cp:coreProperties>
</file>