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<sst xmlns="http://schemas.openxmlformats.org/spreadsheetml/2006/main" count="214" uniqueCount="185">
  <si>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</si>
  <si>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</si>
  <si>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</si>
  <si>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</si>
  <si>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</si>
  <si>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</si>
  <si>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</si>
  <si>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</si>
  <si>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</si>
  <si>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</si>
  <si>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</si>
  <si>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</si>
  <si>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</si>
  <si>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</si>
  <si>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</si>
  <si>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</si>
  <si>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</si>
  <si>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</si>
  <si>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</si>
  <si>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</si>
  <si>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</si>
  <si>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</si>
  <si>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</si>
  <si>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</si>
  <si>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</si>
  <si>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</si>
  <si>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</si>
  <si>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</si>
  <si>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</si>
  <si>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</si>
  <si>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</si>
  <si>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</si>
  <si>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</si>
  <si>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</si>
  <si>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</si>
  <si>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</si>
  <si>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</si>
  <si>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</si>
  <si>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</si>
  <si>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</si>
  <si>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</si>
  <si>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</si>
  <si>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</si>
  <si>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</si>
  <si>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</si>
  <si>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</si>
  <si>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</si>
  <si>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</si>
  <si>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</si>
  <si>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</si>
  <si>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</si>
  <si>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</si>
  <si>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</si>
  <si>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</si>
  <si>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</si>
  <si>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</si>
  <si>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</si>
  <si>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</si>
  <si>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</si>
  <si>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</si>
  <si>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</si>
  <si>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</si>
  <si>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</si>
  <si>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</si>
  <si>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</si>
  <si>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</si>
  <si>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</si>
  <si>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</si>
  <si>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</si>
  <si>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</si>
  <si>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</si>
  <si>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</si>
  <si>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</si>
  <si>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</si>
  <si>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</si>
  <si>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</si>
  <si>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</si>
  <si>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</si>
  <si>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</si>
  <si>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</si>
  <si>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</si>
  <si>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</si>
  <si>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</si>
  <si>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</si>
  <si>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</si>
  <si>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</si>
  <si>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</si>
  <si>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</si>
  <si>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</si>
  <si>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</si>
  <si>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</si>
  <si>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</si>
  <si>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</si>
  <si>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</si>
  <si>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</si>
  <si>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</si>
  <si>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</si>
  <si>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</si>
  <si>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</si>
  <si>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</si>
  <si>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</si>
  <si>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</si>
  <si>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</si>
  <si>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</si>
  <si>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</si>
  <si>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</si>
  <si>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</si>
  <si>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</si>
  <si>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</si>
  <si>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</si>
  <si>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</si>
  <si>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</si>
  <si>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</si>
  <si>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</si>
  <si>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</si>
  <si>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</si>
  <si>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</si>
  <si>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</si>
  <si>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</si>
  <si>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</si>
  <si>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</si>
  <si>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</si>
  <si>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</si>
  <si>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</si>
  <si>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</si>
  <si>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</si>
  <si>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</si>
  <si>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</si>
  <si>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</si>
  <si>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</si>
  <si>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</si>
  <si>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</si>
  <si>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</si>
  <si>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</si>
  <si>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</si>
  <si>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</si>
  <si>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Страховка</t>
  </si>
  <si>
    <t>2020г.</t>
  </si>
  <si>
    <t>мая</t>
  </si>
  <si>
    <t>за   май  2020 г.</t>
  </si>
  <si>
    <t>ост.на 01.06</t>
  </si>
  <si>
    <t>смена вентиля д 25 (20шт) подвал</t>
  </si>
  <si>
    <t>смена вентиля д 15 (20шт) подвал</t>
  </si>
  <si>
    <t>вентиль д 25</t>
  </si>
  <si>
    <t>20шт</t>
  </si>
  <si>
    <t>вентиль д 15</t>
  </si>
  <si>
    <t>30шт</t>
  </si>
  <si>
    <t>тройник 32</t>
  </si>
  <si>
    <t>диск</t>
  </si>
  <si>
    <t>3шт</t>
  </si>
  <si>
    <t>американка</t>
  </si>
  <si>
    <t>муфта нер.32</t>
  </si>
  <si>
    <t>смена труб д 32 (4мп) подвал</t>
  </si>
  <si>
    <t>труба д 32</t>
  </si>
  <si>
    <t>4мп</t>
  </si>
  <si>
    <t>смена труб д 20 (2мп) подвал</t>
  </si>
  <si>
    <t>труба д 20</t>
  </si>
  <si>
    <t>2мп</t>
  </si>
  <si>
    <t>муфта пер.32</t>
  </si>
  <si>
    <t>6шт</t>
  </si>
  <si>
    <t>муфта паечная 20</t>
  </si>
  <si>
    <t>смена задвижки д 50 (1шт) подвал</t>
  </si>
  <si>
    <t>смена задвижки д 80 (1шт) подвал</t>
  </si>
  <si>
    <t>задвижка 50</t>
  </si>
  <si>
    <t>1шт</t>
  </si>
  <si>
    <t>болт, гайка</t>
  </si>
  <si>
    <t>прокладка</t>
  </si>
  <si>
    <t>задвижка д 80</t>
  </si>
  <si>
    <t>4шт</t>
  </si>
  <si>
    <t>32шт</t>
  </si>
  <si>
    <t>ремонт двери п-д1</t>
  </si>
  <si>
    <t>укрепление металлочерепицы</t>
  </si>
  <si>
    <t>работа по договору (ремонт балк.коз.)</t>
  </si>
  <si>
    <t>400шт</t>
  </si>
  <si>
    <t>болт</t>
  </si>
  <si>
    <t>гайка</t>
  </si>
  <si>
    <t>шайба</t>
  </si>
  <si>
    <t>1000шт</t>
  </si>
  <si>
    <t xml:space="preserve">смена ламп </t>
  </si>
  <si>
    <t>лампа</t>
  </si>
  <si>
    <t>19шт</t>
  </si>
  <si>
    <t>смена ламп 18в</t>
  </si>
  <si>
    <t>лампа 18 в.</t>
  </si>
  <si>
    <t>2шт</t>
  </si>
  <si>
    <t>стартер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</si>
</sst>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00000000"/>
    <numFmt numFmtId="182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2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40">
      <selection activeCell="M59" sqref="M59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ht="12.75">
      <c r="K1" t="s">
        <v>59</v>
      </c>
    </row>
    <row r="2" spans="3:11" ht="12.75">
      <c r="C2" s="1" t="s">
        <v>89</v>
      </c>
      <c r="D2" s="8">
        <v>5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31</v>
      </c>
      <c r="F5" s="8" t="s">
        <v>138</v>
      </c>
      <c r="G5" s="8" t="s">
        <v>137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3.69</v>
      </c>
      <c r="M6" s="52">
        <f>L6*160.174*1.302</f>
        <v>769.53676212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2">
        <f aca="true" t="shared" si="0" ref="M7:M19">L7*160.174*1.302</f>
        <v>0</v>
      </c>
    </row>
    <row r="8" spans="10:13" ht="12.75">
      <c r="J8" s="15"/>
      <c r="K8" s="15" t="s">
        <v>38</v>
      </c>
      <c r="L8" s="21"/>
      <c r="M8" s="52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52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2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10.55</v>
      </c>
      <c r="M11" s="52">
        <f t="shared" si="0"/>
        <v>2200.1660814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2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2">
        <f t="shared" si="0"/>
        <v>1099.04030796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0</v>
      </c>
      <c r="M14" s="52">
        <f t="shared" si="0"/>
        <v>0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2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52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5.27</v>
      </c>
      <c r="M17" s="52">
        <f t="shared" si="0"/>
        <v>1099.04030796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2">
        <f t="shared" si="0"/>
        <v>750.7675728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2">
        <f t="shared" si="0"/>
        <v>104.27327400000001</v>
      </c>
    </row>
    <row r="20" spans="1:13" ht="12.75">
      <c r="A20" t="s">
        <v>106</v>
      </c>
      <c r="J20" s="20"/>
      <c r="K20" s="27" t="s">
        <v>51</v>
      </c>
      <c r="L20" s="28">
        <f>SUM(L6:L19)</f>
        <v>28.88</v>
      </c>
      <c r="M20" s="33">
        <f>SUM(M6:M19)</f>
        <v>6022.824306240001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172</v>
      </c>
      <c r="L24" s="25"/>
      <c r="M24" s="32">
        <v>29700</v>
      </c>
    </row>
    <row r="25" spans="1:13" ht="12.75">
      <c r="A25" t="s">
        <v>110</v>
      </c>
      <c r="J25" s="23">
        <v>2</v>
      </c>
      <c r="K25" s="35" t="s">
        <v>141</v>
      </c>
      <c r="L25" s="52">
        <f>0.2*103</f>
        <v>20.6</v>
      </c>
      <c r="M25" s="32">
        <f aca="true" t="shared" si="1" ref="M25:M35">L25*160.174*1.302*1.15</f>
        <v>4940.46772212</v>
      </c>
    </row>
    <row r="26" spans="1:13" ht="12.75">
      <c r="A26" t="s">
        <v>111</v>
      </c>
      <c r="J26" s="23">
        <v>3</v>
      </c>
      <c r="K26" s="35" t="s">
        <v>142</v>
      </c>
      <c r="L26" s="57">
        <f>20*0.81</f>
        <v>16.200000000000003</v>
      </c>
      <c r="M26" s="32">
        <f t="shared" si="1"/>
        <v>3885.2221892400007</v>
      </c>
    </row>
    <row r="27" spans="1:13" ht="12.75">
      <c r="A27" t="s">
        <v>112</v>
      </c>
      <c r="J27" s="23">
        <v>4</v>
      </c>
      <c r="K27" s="35" t="s">
        <v>152</v>
      </c>
      <c r="L27" s="25">
        <f>0.04*156.46</f>
        <v>6.258400000000001</v>
      </c>
      <c r="M27" s="32">
        <f t="shared" si="1"/>
        <v>1500.9428734036803</v>
      </c>
    </row>
    <row r="28" spans="1:13" ht="12.75">
      <c r="A28" s="56" t="s">
        <v>113</v>
      </c>
      <c r="B28" s="56"/>
      <c r="C28" s="56"/>
      <c r="D28" s="56"/>
      <c r="E28" s="56"/>
      <c r="F28" s="56"/>
      <c r="G28" s="56"/>
      <c r="J28" s="23">
        <v>5</v>
      </c>
      <c r="K28" s="35" t="s">
        <v>155</v>
      </c>
      <c r="L28" s="25">
        <f>0.02*224.9</f>
        <v>4.498</v>
      </c>
      <c r="M28" s="32">
        <f t="shared" si="1"/>
        <v>1078.7487288396</v>
      </c>
    </row>
    <row r="29" spans="1:13" ht="12.75">
      <c r="A29" t="s">
        <v>114</v>
      </c>
      <c r="B29" s="1"/>
      <c r="C29" s="1"/>
      <c r="D29" s="1"/>
      <c r="J29" s="23">
        <v>6</v>
      </c>
      <c r="K29" s="35" t="s">
        <v>161</v>
      </c>
      <c r="L29" s="23">
        <v>3.08</v>
      </c>
      <c r="M29" s="32">
        <f t="shared" si="1"/>
        <v>738.6718730160001</v>
      </c>
    </row>
    <row r="30" spans="10:13" ht="12.75">
      <c r="J30" s="23">
        <v>7</v>
      </c>
      <c r="K30" s="35" t="s">
        <v>162</v>
      </c>
      <c r="L30" s="49">
        <v>4.22</v>
      </c>
      <c r="M30" s="32">
        <f t="shared" si="1"/>
        <v>1012.0763974439999</v>
      </c>
    </row>
    <row r="31" spans="2:13" ht="12.75">
      <c r="B31" t="s">
        <v>0</v>
      </c>
      <c r="J31" s="23">
        <v>8</v>
      </c>
      <c r="K31" s="35" t="s">
        <v>170</v>
      </c>
      <c r="L31" s="25">
        <v>2.63</v>
      </c>
      <c r="M31" s="32">
        <f t="shared" si="1"/>
        <v>630.749034426</v>
      </c>
    </row>
    <row r="32" spans="10:13" ht="12.75">
      <c r="J32" s="23">
        <v>9</v>
      </c>
      <c r="K32" s="35" t="s">
        <v>171</v>
      </c>
      <c r="L32" s="25">
        <f>4*2.63</f>
        <v>10.52</v>
      </c>
      <c r="M32" s="32">
        <f t="shared" si="1"/>
        <v>2522.996137704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 t="s">
        <v>178</v>
      </c>
      <c r="L33" s="25">
        <f>0.19*7.1</f>
        <v>1.349</v>
      </c>
      <c r="M33" s="32">
        <f t="shared" si="1"/>
        <v>323.5286872398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 t="s">
        <v>181</v>
      </c>
      <c r="L34" s="25">
        <f>0.14</f>
        <v>0.14</v>
      </c>
      <c r="M34" s="32">
        <f t="shared" si="1"/>
        <v>33.575994228000006</v>
      </c>
    </row>
    <row r="35" spans="1:13" ht="12.75">
      <c r="A35" t="s">
        <v>3</v>
      </c>
      <c r="J35" s="23">
        <v>12</v>
      </c>
      <c r="K35" s="35"/>
      <c r="L35" s="25"/>
      <c r="M35" s="32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69.4954</v>
      </c>
      <c r="M36" s="33">
        <f>SUM(M24:M35)</f>
        <v>46366.97963766107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203115.06</v>
      </c>
      <c r="J40" s="23">
        <v>1</v>
      </c>
      <c r="K40" s="35" t="s">
        <v>143</v>
      </c>
      <c r="L40" s="23" t="s">
        <v>144</v>
      </c>
      <c r="M40" s="23">
        <f>20*585</f>
        <v>11700</v>
      </c>
    </row>
    <row r="41" spans="1:13" ht="12.75">
      <c r="A41" t="s">
        <v>7</v>
      </c>
      <c r="F41" s="5">
        <v>192679.93</v>
      </c>
      <c r="J41" s="25">
        <v>2</v>
      </c>
      <c r="K41" s="35" t="s">
        <v>145</v>
      </c>
      <c r="L41" s="23" t="s">
        <v>144</v>
      </c>
      <c r="M41" s="23">
        <f>20*279</f>
        <v>5580</v>
      </c>
    </row>
    <row r="42" spans="2:13" ht="12.75">
      <c r="B42" t="s">
        <v>8</v>
      </c>
      <c r="F42" s="9">
        <f>F41/F40</f>
        <v>0.9486245382297107</v>
      </c>
      <c r="J42" s="25">
        <v>3</v>
      </c>
      <c r="K42" s="35" t="s">
        <v>147</v>
      </c>
      <c r="L42" s="23" t="s">
        <v>144</v>
      </c>
      <c r="M42" s="23">
        <f>20*18</f>
        <v>360</v>
      </c>
    </row>
    <row r="43" spans="1:13" ht="12.75">
      <c r="A43" t="s">
        <v>131</v>
      </c>
      <c r="F43" s="5">
        <f>400+250+800+400+250</f>
        <v>2100</v>
      </c>
      <c r="J43" s="25">
        <v>4</v>
      </c>
      <c r="K43" s="35" t="s">
        <v>148</v>
      </c>
      <c r="L43" s="23" t="s">
        <v>149</v>
      </c>
      <c r="M43" s="23">
        <f>3*23.5</f>
        <v>70.5</v>
      </c>
    </row>
    <row r="44" spans="1:13" ht="12.75">
      <c r="A44" s="3" t="s">
        <v>9</v>
      </c>
      <c r="B44" s="3"/>
      <c r="C44" s="3"/>
      <c r="D44" s="3"/>
      <c r="E44" s="1"/>
      <c r="F44" s="34">
        <f>F41+F43</f>
        <v>194779.93</v>
      </c>
      <c r="J44" s="25">
        <v>5</v>
      </c>
      <c r="K44" s="39" t="s">
        <v>150</v>
      </c>
      <c r="L44" s="23" t="s">
        <v>144</v>
      </c>
      <c r="M44" s="23">
        <f>20*221.63</f>
        <v>4432.6</v>
      </c>
    </row>
    <row r="45" spans="2:13" ht="12.75">
      <c r="B45" s="1" t="s">
        <v>10</v>
      </c>
      <c r="C45" s="1"/>
      <c r="J45" s="25">
        <v>6</v>
      </c>
      <c r="K45" s="39" t="s">
        <v>151</v>
      </c>
      <c r="L45" s="23" t="s">
        <v>146</v>
      </c>
      <c r="M45" s="23">
        <f>30*78</f>
        <v>2340</v>
      </c>
    </row>
    <row r="46" spans="10:13" ht="12.75">
      <c r="J46" s="25">
        <v>7</v>
      </c>
      <c r="K46" s="39" t="s">
        <v>153</v>
      </c>
      <c r="L46" s="23" t="s">
        <v>154</v>
      </c>
      <c r="M46" s="23">
        <f>4*182</f>
        <v>728</v>
      </c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 t="s">
        <v>156</v>
      </c>
      <c r="L47" s="23" t="s">
        <v>157</v>
      </c>
      <c r="M47" s="23">
        <f>2*73.35</f>
        <v>146.7</v>
      </c>
    </row>
    <row r="48" spans="1:13" ht="12.75">
      <c r="A48" t="s">
        <v>12</v>
      </c>
      <c r="F48" s="11">
        <f>9274*1.302</f>
        <v>12074.748</v>
      </c>
      <c r="J48" s="25">
        <v>9</v>
      </c>
      <c r="K48" s="39" t="s">
        <v>158</v>
      </c>
      <c r="L48" s="23" t="s">
        <v>159</v>
      </c>
      <c r="M48" s="23">
        <f>6*78</f>
        <v>468</v>
      </c>
    </row>
    <row r="49" spans="1:13" ht="12.75">
      <c r="A49" s="6" t="s">
        <v>15</v>
      </c>
      <c r="F49" s="11">
        <f>(10000+1600)*1.302</f>
        <v>15103.2</v>
      </c>
      <c r="J49" s="25">
        <v>10</v>
      </c>
      <c r="K49" s="39" t="s">
        <v>160</v>
      </c>
      <c r="L49" s="23" t="s">
        <v>159</v>
      </c>
      <c r="M49" s="23">
        <f>6*51</f>
        <v>306</v>
      </c>
    </row>
    <row r="50" spans="1:13" ht="12.75">
      <c r="A50" s="62" t="s">
        <v>87</v>
      </c>
      <c r="B50" s="60"/>
      <c r="C50" s="60"/>
      <c r="D50" s="60"/>
      <c r="E50" s="61">
        <v>0</v>
      </c>
      <c r="F50" s="63">
        <f>E33*E50</f>
        <v>0</v>
      </c>
      <c r="J50" s="25">
        <v>11</v>
      </c>
      <c r="K50" s="39" t="s">
        <v>163</v>
      </c>
      <c r="L50" s="23" t="s">
        <v>164</v>
      </c>
      <c r="M50" s="23">
        <v>2480</v>
      </c>
    </row>
    <row r="51" spans="1:13" ht="12.75">
      <c r="A51" s="10" t="s">
        <v>27</v>
      </c>
      <c r="D51" s="5"/>
      <c r="F51" s="34">
        <f>F48+F49+F50</f>
        <v>27177.948</v>
      </c>
      <c r="J51" s="25">
        <v>12</v>
      </c>
      <c r="K51" s="39" t="s">
        <v>165</v>
      </c>
      <c r="L51" s="23" t="s">
        <v>169</v>
      </c>
      <c r="M51" s="23">
        <f>(16*22.27)+(16*4.9)</f>
        <v>434.72</v>
      </c>
    </row>
    <row r="52" spans="1:13" ht="12.75">
      <c r="A52" s="4" t="s">
        <v>16</v>
      </c>
      <c r="D52" s="5"/>
      <c r="J52" s="25">
        <v>13</v>
      </c>
      <c r="K52" s="39" t="s">
        <v>166</v>
      </c>
      <c r="L52" s="23" t="s">
        <v>168</v>
      </c>
      <c r="M52" s="23">
        <f>4*21.4</f>
        <v>85.6</v>
      </c>
    </row>
    <row r="53" spans="1:13" ht="12.75">
      <c r="A53" t="s">
        <v>75</v>
      </c>
      <c r="C53" s="13"/>
      <c r="D53" s="48">
        <v>0</v>
      </c>
      <c r="E53" s="13" t="s">
        <v>14</v>
      </c>
      <c r="F53" s="11">
        <f>E33*D53</f>
        <v>0</v>
      </c>
      <c r="J53" s="25">
        <v>14</v>
      </c>
      <c r="K53" s="39" t="s">
        <v>167</v>
      </c>
      <c r="L53" s="23" t="s">
        <v>164</v>
      </c>
      <c r="M53" s="23">
        <v>5000</v>
      </c>
    </row>
    <row r="54" spans="1:13" ht="12.75">
      <c r="A54" t="s">
        <v>83</v>
      </c>
      <c r="B54">
        <v>1194.8</v>
      </c>
      <c r="C54" t="s">
        <v>13</v>
      </c>
      <c r="D54" s="5">
        <v>0</v>
      </c>
      <c r="E54" t="s">
        <v>14</v>
      </c>
      <c r="F54" s="11">
        <f>B54*D54</f>
        <v>0</v>
      </c>
      <c r="J54" s="25">
        <v>15</v>
      </c>
      <c r="K54" s="39" t="s">
        <v>174</v>
      </c>
      <c r="L54" s="23" t="s">
        <v>173</v>
      </c>
      <c r="M54" s="23">
        <f>400*2</f>
        <v>800</v>
      </c>
    </row>
    <row r="55" spans="1:13" ht="12.75">
      <c r="A55" s="10" t="s">
        <v>17</v>
      </c>
      <c r="B55" s="10"/>
      <c r="C55" s="10"/>
      <c r="F55" s="34">
        <f>SUM(F53:F54)</f>
        <v>0</v>
      </c>
      <c r="J55" s="25">
        <v>16</v>
      </c>
      <c r="K55" s="39" t="s">
        <v>175</v>
      </c>
      <c r="L55" s="23" t="s">
        <v>173</v>
      </c>
      <c r="M55" s="23">
        <f>400*0.66</f>
        <v>264</v>
      </c>
    </row>
    <row r="56" spans="1:13" ht="12.75">
      <c r="A56" s="4" t="s">
        <v>60</v>
      </c>
      <c r="J56" s="25">
        <v>17</v>
      </c>
      <c r="K56" s="39" t="s">
        <v>176</v>
      </c>
      <c r="L56" s="23" t="s">
        <v>177</v>
      </c>
      <c r="M56" s="23">
        <f>1000*0.71</f>
        <v>710</v>
      </c>
    </row>
    <row r="57" spans="1:13" ht="12.75">
      <c r="A57" t="s">
        <v>68</v>
      </c>
      <c r="B57" s="10">
        <v>4</v>
      </c>
      <c r="D57" s="5">
        <v>6305</v>
      </c>
      <c r="F57" s="5">
        <f>B57*D57</f>
        <v>25220</v>
      </c>
      <c r="J57" s="25">
        <v>18</v>
      </c>
      <c r="K57" s="50" t="s">
        <v>179</v>
      </c>
      <c r="L57" s="51" t="s">
        <v>180</v>
      </c>
      <c r="M57" s="51">
        <f>19*17.4</f>
        <v>330.59999999999997</v>
      </c>
    </row>
    <row r="58" spans="1:13" ht="12.75">
      <c r="A58" s="60" t="s">
        <v>136</v>
      </c>
      <c r="B58" s="66"/>
      <c r="C58" s="60"/>
      <c r="D58" s="61"/>
      <c r="E58" s="60"/>
      <c r="F58" s="61">
        <v>0</v>
      </c>
      <c r="J58" s="25">
        <v>19</v>
      </c>
      <c r="K58" s="50" t="s">
        <v>184</v>
      </c>
      <c r="L58" s="51" t="s">
        <v>183</v>
      </c>
      <c r="M58" s="51">
        <f>2*35</f>
        <v>70</v>
      </c>
    </row>
    <row r="59" spans="1:13" ht="12.75">
      <c r="A59" s="10" t="s">
        <v>64</v>
      </c>
      <c r="F59" s="8">
        <f>SUM(F57+F58)</f>
        <v>25220</v>
      </c>
      <c r="J59" s="25">
        <v>20</v>
      </c>
      <c r="K59" s="50" t="s">
        <v>182</v>
      </c>
      <c r="L59" s="23" t="s">
        <v>183</v>
      </c>
      <c r="M59" s="23">
        <f>2*93.5</f>
        <v>187</v>
      </c>
    </row>
    <row r="60" spans="1:13" ht="12.75">
      <c r="A60" s="4" t="s">
        <v>61</v>
      </c>
      <c r="B60" s="4"/>
      <c r="F60" s="5"/>
      <c r="J60" s="20"/>
      <c r="K60" s="20"/>
      <c r="L60" s="31" t="s">
        <v>58</v>
      </c>
      <c r="M60" s="33">
        <f>SUM(M40:M59)</f>
        <v>36493.719999999994</v>
      </c>
    </row>
    <row r="61" spans="1:10" ht="12.75">
      <c r="A61" t="s">
        <v>18</v>
      </c>
      <c r="C61" s="53">
        <v>302184</v>
      </c>
      <c r="D61">
        <v>229360</v>
      </c>
      <c r="E61">
        <v>9983.4</v>
      </c>
      <c r="F61" s="36">
        <f>C61/D61*E61</f>
        <v>13153.225259853503</v>
      </c>
      <c r="J61" s="46"/>
    </row>
    <row r="62" spans="1:10" ht="12.75">
      <c r="A62" t="s">
        <v>19</v>
      </c>
      <c r="F62" s="36">
        <f>M20</f>
        <v>6022.824306240001</v>
      </c>
      <c r="J62" s="46"/>
    </row>
    <row r="63" spans="1:10" ht="12.75">
      <c r="A63" t="s">
        <v>20</v>
      </c>
      <c r="F63" s="11">
        <f>M36</f>
        <v>46366.97963766107</v>
      </c>
      <c r="J63" s="46"/>
    </row>
    <row r="64" spans="1:10" ht="12.75">
      <c r="A64" t="s">
        <v>73</v>
      </c>
      <c r="F64" s="11">
        <f>1*600*1.302</f>
        <v>781.2</v>
      </c>
      <c r="J64" s="46"/>
    </row>
    <row r="65" spans="1:10" ht="12.75">
      <c r="A65" t="s">
        <v>21</v>
      </c>
      <c r="F65" s="11">
        <f>M60</f>
        <v>36493.719999999994</v>
      </c>
      <c r="J65" s="46"/>
    </row>
    <row r="66" spans="1:10" ht="12.75">
      <c r="A66" t="s">
        <v>22</v>
      </c>
      <c r="F66" s="5"/>
      <c r="J66" s="46"/>
    </row>
    <row r="67" spans="1:10" ht="12.75">
      <c r="A67" s="60" t="s">
        <v>79</v>
      </c>
      <c r="B67" s="60"/>
      <c r="C67" s="60"/>
      <c r="D67" s="60"/>
      <c r="E67" s="60"/>
      <c r="F67" s="61">
        <v>0</v>
      </c>
      <c r="J67" s="46"/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0.43</v>
      </c>
      <c r="E69" t="s">
        <v>14</v>
      </c>
      <c r="F69" s="11">
        <f>B69*D69</f>
        <v>4292.862</v>
      </c>
    </row>
    <row r="70" spans="1:6" ht="12.75">
      <c r="A70" s="60" t="s">
        <v>88</v>
      </c>
      <c r="B70" s="60"/>
      <c r="C70" s="60"/>
      <c r="D70" s="63">
        <v>0</v>
      </c>
      <c r="E70" s="60"/>
      <c r="F70" s="63">
        <f>D70*E33</f>
        <v>0</v>
      </c>
    </row>
    <row r="71" spans="1:6" ht="12.75">
      <c r="A71" s="10" t="s">
        <v>65</v>
      </c>
      <c r="B71" s="10"/>
      <c r="C71" s="10"/>
      <c r="F71" s="34">
        <f>SUM(F61:F70)</f>
        <v>107110.81120375457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0.24</v>
      </c>
      <c r="E73" t="s">
        <v>14</v>
      </c>
      <c r="F73" s="11">
        <f>B73*D73</f>
        <v>2396.0159999999996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1.17</v>
      </c>
      <c r="E76" t="s">
        <v>14</v>
      </c>
      <c r="F76" s="11">
        <f>B76*D76</f>
        <v>11680.578</v>
      </c>
    </row>
    <row r="77" spans="1:6" ht="12.75">
      <c r="A77" s="10" t="s">
        <v>66</v>
      </c>
      <c r="F77" s="34">
        <f>F73+F76</f>
        <v>14076.594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2.2</v>
      </c>
      <c r="E80" t="s">
        <v>14</v>
      </c>
      <c r="F80" s="11">
        <f>B80*D80</f>
        <v>21963.48</v>
      </c>
    </row>
    <row r="81" spans="1:9" ht="12.75">
      <c r="A81" s="4" t="s">
        <v>67</v>
      </c>
      <c r="B81" s="1"/>
      <c r="F81" s="34">
        <f>SUM(F80)</f>
        <v>21963.48</v>
      </c>
      <c r="I81" s="7"/>
    </row>
    <row r="82" spans="1:6" ht="12.75">
      <c r="A82" s="64" t="s">
        <v>82</v>
      </c>
      <c r="B82" s="60"/>
      <c r="C82" s="60"/>
      <c r="D82" s="61">
        <v>0</v>
      </c>
      <c r="E82" s="60"/>
      <c r="F82" s="65">
        <f>D82*E33</f>
        <v>0</v>
      </c>
    </row>
    <row r="83" spans="1:6" ht="12.75">
      <c r="A83" s="1" t="s">
        <v>26</v>
      </c>
      <c r="B83" s="1"/>
      <c r="F83" s="34">
        <f>F51+F55+F59+F71+F77+F81+F82</f>
        <v>195548.8332037546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11341.832325817766</v>
      </c>
    </row>
    <row r="85" spans="1:6" ht="12.75">
      <c r="A85" s="1"/>
      <c r="B85" s="38" t="s">
        <v>133</v>
      </c>
      <c r="C85" s="38"/>
      <c r="D85" s="1"/>
      <c r="E85" s="58"/>
      <c r="F85" s="59">
        <v>30751</v>
      </c>
    </row>
    <row r="86" spans="1:6" ht="12.75">
      <c r="A86" s="1"/>
      <c r="B86" s="38" t="s">
        <v>134</v>
      </c>
      <c r="C86" s="38"/>
      <c r="D86" s="1"/>
      <c r="E86" s="58"/>
      <c r="F86" s="59">
        <v>1634.64</v>
      </c>
    </row>
    <row r="87" spans="1:6" ht="12.75">
      <c r="A87" s="1"/>
      <c r="B87" s="38" t="s">
        <v>135</v>
      </c>
      <c r="C87" s="38"/>
      <c r="D87" s="1"/>
      <c r="E87" s="58"/>
      <c r="F87" s="59">
        <v>8548.06</v>
      </c>
    </row>
    <row r="88" spans="1:6" ht="15">
      <c r="A88" s="12" t="s">
        <v>28</v>
      </c>
      <c r="B88" s="12"/>
      <c r="C88" s="12"/>
      <c r="D88" s="12"/>
      <c r="E88" s="12"/>
      <c r="F88" s="37">
        <f>F83+F84+F85+F86+F87</f>
        <v>247824.36552957236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140</v>
      </c>
    </row>
    <row r="90" spans="1:6" ht="12.75">
      <c r="A90" s="13"/>
      <c r="B90" s="42">
        <v>43952</v>
      </c>
      <c r="C90" s="43">
        <v>1062816</v>
      </c>
      <c r="D90" s="47">
        <f>F44</f>
        <v>194779.93</v>
      </c>
      <c r="E90" s="47">
        <f>F88</f>
        <v>247824.36552957236</v>
      </c>
      <c r="F90" s="45">
        <f>C90+D90-E90</f>
        <v>1009771.5644704276</v>
      </c>
    </row>
    <row r="92" spans="1:6" ht="13.5" thickBot="1">
      <c r="A92" t="s">
        <v>116</v>
      </c>
      <c r="C92" s="55">
        <v>43952</v>
      </c>
      <c r="D92" s="8" t="s">
        <v>117</v>
      </c>
      <c r="E92" s="55">
        <v>43982</v>
      </c>
      <c r="F92" t="s">
        <v>118</v>
      </c>
    </row>
    <row r="93" spans="1:7" ht="13.5" thickBot="1">
      <c r="A93" t="s">
        <v>119</v>
      </c>
      <c r="F93" s="54">
        <f>E90</f>
        <v>247824.36552957236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2017-08-21T12:39:10Z</cp:lastPrinted>
  <dcterms:created xsi:type="dcterms:W3CDTF">2008-08-18T07:30:19Z</dcterms:created>
  <dcterms:modified xsi:type="dcterms:W3CDTF">2020-08-06T11:03:08Z</dcterms:modified>
  <cp:category/>
  <cp:version/>
  <cp:contentType/>
  <cp:contentStatus/>
</cp:coreProperties>
</file>