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<sst xmlns="http://schemas.openxmlformats.org/spreadsheetml/2006/main" count="205" uniqueCount="170">
  <si>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</si>
  <si>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</si>
  <si>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</si>
  <si>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</si>
  <si>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</si>
  <si>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</si>
  <si>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</si>
  <si>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</si>
  <si>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</si>
  <si>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</si>
  <si>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</si>
  <si>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</si>
  <si>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</si>
  <si>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</si>
  <si>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</si>
  <si>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</si>
  <si>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</si>
  <si>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</si>
  <si>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</si>
  <si>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</si>
  <si>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</si>
  <si>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</si>
  <si>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</si>
  <si>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</si>
  <si>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</si>
  <si>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</si>
  <si>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</si>
  <si>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</si>
  <si>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</si>
  <si>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</si>
  <si>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</si>
  <si>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</si>
  <si>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</si>
  <si>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</si>
  <si>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</si>
  <si>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</si>
  <si>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</si>
  <si>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</si>
  <si>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</si>
  <si>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</si>
  <si>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</si>
  <si>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</si>
  <si>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</si>
  <si>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</si>
  <si>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</si>
  <si>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</si>
  <si>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</si>
  <si>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</si>
  <si>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</si>
  <si>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</si>
  <si>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</si>
  <si>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</si>
  <si>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</si>
  <si>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</si>
  <si>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</si>
  <si>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</si>
  <si>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</si>
  <si>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</si>
  <si>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</si>
  <si>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</si>
  <si>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</si>
  <si>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</si>
  <si>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</si>
  <si>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</si>
  <si>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</si>
  <si>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д.1</t>
  </si>
  <si>
    <t>м2</t>
  </si>
  <si>
    <t xml:space="preserve">остаток </t>
  </si>
  <si>
    <t xml:space="preserve">на 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</si>
  <si>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</si>
  <si>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</si>
  <si>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</si>
  <si>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</si>
  <si>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</si>
  <si>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</si>
  <si>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</si>
  <si>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</si>
  <si>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</si>
  <si>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 налог УСН)</t>
    </r>
  </si>
  <si>
    <t>2) Дератизация</t>
  </si>
  <si>
    <t>г</t>
  </si>
  <si>
    <t>электрощитовые</t>
  </si>
  <si>
    <t>и канализации в техподполье мног.  жилых зданий</t>
  </si>
  <si>
    <t>Материалы,спецодежда и инвентарь</t>
  </si>
  <si>
    <t>3.  Материалы, спецодежда и инвентарь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</si>
  <si>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</si>
  <si>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</si>
  <si>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адресу: </t>
  </si>
  <si>
    <t xml:space="preserve">       Собственники помещений в многоквартирном доме, расположенном по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</si>
  <si>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</si>
  <si>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</si>
  <si>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</si>
  <si>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</si>
  <si>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</si>
  <si>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</si>
  <si>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многоквартирном доме, действующего на основании ______________________</t>
  </si>
  <si>
    <t>собственников помещений, либо</t>
  </si>
  <si>
    <t>доверенность, дата, номер)</t>
  </si>
  <si>
    <t>(указывается решение общего собрания</t>
  </si>
  <si>
    <t>с одной стороны, и</t>
  </si>
  <si>
    <t>ООО УО "Комбайнбыт-Сервис именуемый в дальнейшем "Исполнитель" в лице</t>
  </si>
  <si>
    <t xml:space="preserve">   являющегося собственником квартиры _____________, находящейся в данном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</si>
  <si>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</si>
  <si>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</si>
  <si>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</si>
  <si>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</si>
  <si>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</si>
  <si>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</si>
  <si>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</si>
  <si>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</si>
  <si>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</si>
  <si>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</si>
  <si>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</si>
  <si>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</si>
  <si>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</si>
  <si>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</si>
  <si>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</si>
  <si>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</si>
  <si>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с надлежащим качеством.</t>
  </si>
  <si>
    <t xml:space="preserve">         выполнено работ (оказано услуг) на общую сумму :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</si>
  <si>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</si>
  <si>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</si>
  <si>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</si>
  <si>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</si>
  <si>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</si>
  <si>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Акт № _________1_____________</t>
  </si>
  <si>
    <t>1.2 Аренда (Интер-телеком, Ростелеком,комстар)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</si>
  <si>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</si>
  <si>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</si>
  <si>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</si>
  <si>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</si>
  <si>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</si>
  <si>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ноября</t>
  </si>
  <si>
    <t>за   ноябрь  2019 г.</t>
  </si>
  <si>
    <t>ост.на 01.12</t>
  </si>
  <si>
    <t>изготовление вент.трубы со сваркой п-д1</t>
  </si>
  <si>
    <t>угольник 20</t>
  </si>
  <si>
    <t>4шт</t>
  </si>
  <si>
    <t>американка 20</t>
  </si>
  <si>
    <t>2шт</t>
  </si>
  <si>
    <t>3шт</t>
  </si>
  <si>
    <t>труба д 76</t>
  </si>
  <si>
    <t>3мп</t>
  </si>
  <si>
    <t>отвод 76</t>
  </si>
  <si>
    <t>электроды</t>
  </si>
  <si>
    <t>2,5кг</t>
  </si>
  <si>
    <t>смесь м-150</t>
  </si>
  <si>
    <t>100кг</t>
  </si>
  <si>
    <t>цемент</t>
  </si>
  <si>
    <t>50кг</t>
  </si>
  <si>
    <t>доска</t>
  </si>
  <si>
    <t>1шт</t>
  </si>
  <si>
    <t>откачка воды из техподполий</t>
  </si>
  <si>
    <t>смена вентиля д 15 (1шт) кв.12</t>
  </si>
  <si>
    <t>вентиль д 15</t>
  </si>
  <si>
    <t>смена замка (1шт) чердак</t>
  </si>
  <si>
    <t>замок</t>
  </si>
  <si>
    <t xml:space="preserve">изготовление вытяжки из труб д 76 (4мп) </t>
  </si>
  <si>
    <t>4мп</t>
  </si>
  <si>
    <t>6шт</t>
  </si>
  <si>
    <t xml:space="preserve">арматура </t>
  </si>
  <si>
    <t>ремонт эл.щита со сменой автомата (1шт) подвал</t>
  </si>
  <si>
    <t>автомат 25 А</t>
  </si>
  <si>
    <t>смена ламп тлд (3шт) п-д1</t>
  </si>
  <si>
    <t>лампа тлд</t>
  </si>
  <si>
    <t>лампа 18в</t>
  </si>
  <si>
    <t>смена ламп 18в (3шт) п-д1</t>
  </si>
  <si>
    <t>изгот.и уст. опалубки в т.п. п-д 1</t>
  </si>
  <si>
    <t>саморез</t>
  </si>
  <si>
    <t>30шт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</si>
</sst>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17" xfId="0" applyFont="1" applyBorder="1" applyAlignment="1">
      <alignment horizontal="right"/>
    </xf>
    <xf numFmtId="2" fontId="1" fillId="0" borderId="12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4" fontId="1" fillId="0" borderId="0" xfId="0" applyNumberFormat="1" applyFont="1" applyAlignment="1">
      <alignment/>
    </xf>
    <xf numFmtId="1" fontId="1" fillId="0" borderId="2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47" fillId="0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zoomScale="90" zoomScaleNormal="90" zoomScalePageLayoutView="0" workbookViewId="0" topLeftCell="A52">
      <selection activeCell="D77" sqref="D77"/>
    </sheetView>
  </sheetViews>
  <sheetFormatPr defaultColWidth="9.00390625" defaultRowHeight="12.75"/>
  <cols>
    <col min="1" max="1" width="15.50390625" style="0" customWidth="1"/>
    <col min="3" max="3" width="11.00390625" style="0" bestFit="1" customWidth="1"/>
    <col min="4" max="4" width="11.125" style="0" customWidth="1"/>
    <col min="5" max="5" width="11.00390625" style="0" bestFit="1" customWidth="1"/>
    <col min="6" max="6" width="10.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65</v>
      </c>
    </row>
    <row r="2" spans="3:11" ht="13.5">
      <c r="C2" s="58" t="s">
        <v>125</v>
      </c>
      <c r="D2" s="61">
        <v>11</v>
      </c>
      <c r="K2" s="5" t="s">
        <v>133</v>
      </c>
    </row>
    <row r="3" spans="1:13" ht="12.75">
      <c r="A3" t="s">
        <v>85</v>
      </c>
      <c r="J3" s="14" t="s">
        <v>35</v>
      </c>
      <c r="K3" s="64" t="s">
        <v>60</v>
      </c>
      <c r="L3" s="22" t="s">
        <v>38</v>
      </c>
      <c r="M3" s="22" t="s">
        <v>41</v>
      </c>
    </row>
    <row r="4" spans="1:13" ht="12.75">
      <c r="A4" t="s">
        <v>86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1">
        <v>30</v>
      </c>
      <c r="F5" s="8" t="s">
        <v>132</v>
      </c>
      <c r="G5" s="1" t="s">
        <v>131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5">
        <f>L6*126.87*1.302</f>
        <v>0</v>
      </c>
    </row>
    <row r="7" spans="2:13" ht="15">
      <c r="B7" t="s">
        <v>87</v>
      </c>
      <c r="C7" s="57" t="s">
        <v>89</v>
      </c>
      <c r="D7" s="57"/>
      <c r="J7" s="14">
        <v>2</v>
      </c>
      <c r="K7" s="14" t="s">
        <v>43</v>
      </c>
      <c r="L7" s="14"/>
      <c r="M7" s="45">
        <f aca="true" t="shared" si="0" ref="M7:M19">L7*126.87*1.302</f>
        <v>0</v>
      </c>
    </row>
    <row r="8" spans="3:13" ht="15">
      <c r="C8" s="57"/>
      <c r="D8" s="57"/>
      <c r="J8" s="15"/>
      <c r="K8" s="15" t="s">
        <v>44</v>
      </c>
      <c r="L8" s="21"/>
      <c r="M8" s="45">
        <f t="shared" si="0"/>
        <v>0</v>
      </c>
    </row>
    <row r="9" spans="1:13" ht="12.75">
      <c r="A9" t="s">
        <v>90</v>
      </c>
      <c r="H9" s="7"/>
      <c r="J9" s="16"/>
      <c r="K9" s="16" t="s">
        <v>45</v>
      </c>
      <c r="L9" s="23"/>
      <c r="M9" s="45">
        <f t="shared" si="0"/>
        <v>0</v>
      </c>
    </row>
    <row r="10" spans="5:13" ht="12.75">
      <c r="E10" s="7" t="s">
        <v>91</v>
      </c>
      <c r="F10" s="7"/>
      <c r="G10" s="7"/>
      <c r="H10" s="7"/>
      <c r="J10" s="15">
        <v>3</v>
      </c>
      <c r="K10" s="24" t="s">
        <v>46</v>
      </c>
      <c r="L10" s="21"/>
      <c r="M10" s="45">
        <f t="shared" si="0"/>
        <v>0</v>
      </c>
    </row>
    <row r="11" spans="5:13" ht="12.75">
      <c r="E11" s="7" t="s">
        <v>92</v>
      </c>
      <c r="F11" s="7"/>
      <c r="G11" s="7"/>
      <c r="H11" s="7"/>
      <c r="J11" s="16"/>
      <c r="K11" s="18" t="s">
        <v>48</v>
      </c>
      <c r="L11" s="23">
        <v>0</v>
      </c>
      <c r="M11" s="45">
        <f t="shared" si="0"/>
        <v>0</v>
      </c>
    </row>
    <row r="12" spans="5:13" ht="12.75">
      <c r="E12" s="7" t="s">
        <v>93</v>
      </c>
      <c r="F12" s="7"/>
      <c r="G12" s="7"/>
      <c r="H12" s="7"/>
      <c r="J12" s="14">
        <v>4</v>
      </c>
      <c r="K12" s="17" t="s">
        <v>47</v>
      </c>
      <c r="L12" s="22"/>
      <c r="M12" s="45">
        <f t="shared" si="0"/>
        <v>0</v>
      </c>
    </row>
    <row r="13" spans="5:13" ht="12.75">
      <c r="E13" s="7" t="s">
        <v>94</v>
      </c>
      <c r="F13" s="7"/>
      <c r="G13" s="7"/>
      <c r="J13" s="16"/>
      <c r="K13" s="18" t="s">
        <v>82</v>
      </c>
      <c r="L13" s="54">
        <v>0.94</v>
      </c>
      <c r="M13" s="45">
        <f t="shared" si="0"/>
        <v>155.2736556</v>
      </c>
    </row>
    <row r="14" spans="1:13" ht="12.75">
      <c r="A14" t="s">
        <v>101</v>
      </c>
      <c r="J14" s="20">
        <v>5</v>
      </c>
      <c r="K14" s="19" t="s">
        <v>49</v>
      </c>
      <c r="L14" s="22">
        <v>0</v>
      </c>
      <c r="M14" s="45">
        <f t="shared" si="0"/>
        <v>0</v>
      </c>
    </row>
    <row r="15" spans="1:13" ht="12.75">
      <c r="A15" t="s">
        <v>95</v>
      </c>
      <c r="J15" s="20">
        <v>6</v>
      </c>
      <c r="K15" s="17" t="s">
        <v>50</v>
      </c>
      <c r="L15" s="22"/>
      <c r="M15" s="45">
        <f t="shared" si="0"/>
        <v>0</v>
      </c>
    </row>
    <row r="16" spans="5:13" ht="12.75">
      <c r="E16" s="7" t="s">
        <v>98</v>
      </c>
      <c r="J16" s="20" t="s">
        <v>51</v>
      </c>
      <c r="K16" s="26" t="s">
        <v>52</v>
      </c>
      <c r="L16" s="21">
        <v>0</v>
      </c>
      <c r="M16" s="45">
        <f t="shared" si="0"/>
        <v>0</v>
      </c>
    </row>
    <row r="17" spans="5:13" ht="12.75">
      <c r="E17" s="7" t="s">
        <v>96</v>
      </c>
      <c r="J17" s="20" t="s">
        <v>53</v>
      </c>
      <c r="K17" s="26" t="s">
        <v>54</v>
      </c>
      <c r="L17" s="21">
        <v>1.44</v>
      </c>
      <c r="M17" s="45">
        <f t="shared" si="0"/>
        <v>237.86602560000003</v>
      </c>
    </row>
    <row r="18" spans="5:13" ht="12.75">
      <c r="E18" s="7" t="s">
        <v>97</v>
      </c>
      <c r="J18" s="20" t="s">
        <v>55</v>
      </c>
      <c r="K18" s="51" t="s">
        <v>56</v>
      </c>
      <c r="L18" s="21">
        <v>0.5</v>
      </c>
      <c r="M18" s="45">
        <f t="shared" si="0"/>
        <v>82.59237</v>
      </c>
    </row>
    <row r="19" spans="1:13" ht="12.75">
      <c r="A19" t="s">
        <v>99</v>
      </c>
      <c r="J19" s="20" t="s">
        <v>80</v>
      </c>
      <c r="K19" s="26" t="s">
        <v>81</v>
      </c>
      <c r="L19" s="23">
        <v>0</v>
      </c>
      <c r="M19" s="45">
        <f t="shared" si="0"/>
        <v>0</v>
      </c>
    </row>
    <row r="20" spans="1:13" ht="12.75">
      <c r="A20" t="s">
        <v>100</v>
      </c>
      <c r="J20" s="20"/>
      <c r="K20" s="52" t="s">
        <v>57</v>
      </c>
      <c r="L20" s="53">
        <f>SUM(L6:L19)</f>
        <v>2.88</v>
      </c>
      <c r="M20" s="32">
        <f>SUM(M6:M19)</f>
        <v>475.73205120000006</v>
      </c>
    </row>
    <row r="21" spans="1:11" ht="12.75">
      <c r="A21" t="s">
        <v>127</v>
      </c>
      <c r="K21" s="1" t="s">
        <v>58</v>
      </c>
    </row>
    <row r="22" spans="1:13" ht="12.75">
      <c r="A22" t="s">
        <v>102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103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104</v>
      </c>
      <c r="J24" s="20">
        <v>1</v>
      </c>
      <c r="K24" s="20" t="s">
        <v>135</v>
      </c>
      <c r="L24" s="45">
        <f>0.03*174.8</f>
        <v>5.244</v>
      </c>
      <c r="M24" s="31">
        <f>L24*126.87*1.302*1.15</f>
        <v>996.163093044</v>
      </c>
    </row>
    <row r="25" spans="1:13" ht="12.75">
      <c r="A25" t="s">
        <v>105</v>
      </c>
      <c r="J25" s="20">
        <v>2</v>
      </c>
      <c r="K25" s="20" t="s">
        <v>152</v>
      </c>
      <c r="L25" s="45">
        <f>0.25*7</f>
        <v>1.75</v>
      </c>
      <c r="M25" s="31">
        <f>L25*126.87*1.302*1.15</f>
        <v>332.43428925</v>
      </c>
    </row>
    <row r="26" spans="1:13" ht="12.75">
      <c r="A26" t="s">
        <v>106</v>
      </c>
      <c r="J26" s="20">
        <v>3</v>
      </c>
      <c r="K26" s="20" t="s">
        <v>153</v>
      </c>
      <c r="L26" s="45">
        <v>0.81</v>
      </c>
      <c r="M26" s="31">
        <f>L26*126.87*1.302*1.15</f>
        <v>153.86958531000002</v>
      </c>
    </row>
    <row r="27" spans="1:13" ht="12.75">
      <c r="A27" t="s">
        <v>107</v>
      </c>
      <c r="J27" s="20">
        <v>4</v>
      </c>
      <c r="K27" s="20" t="s">
        <v>155</v>
      </c>
      <c r="L27" s="45">
        <v>1.07</v>
      </c>
      <c r="M27" s="31">
        <f aca="true" t="shared" si="1" ref="M27:M35">L27*126.87*1.302*1.15</f>
        <v>203.25982256999998</v>
      </c>
    </row>
    <row r="28" spans="1:13" ht="12.75">
      <c r="A28" t="s">
        <v>108</v>
      </c>
      <c r="J28" s="20">
        <v>5</v>
      </c>
      <c r="K28" s="20" t="s">
        <v>157</v>
      </c>
      <c r="L28" s="45">
        <f>0.04*174.8</f>
        <v>6.992000000000001</v>
      </c>
      <c r="M28" s="31">
        <f t="shared" si="1"/>
        <v>1328.2174573920004</v>
      </c>
    </row>
    <row r="29" spans="1:13" ht="12.75">
      <c r="A29" t="s">
        <v>109</v>
      </c>
      <c r="J29" s="20">
        <v>6</v>
      </c>
      <c r="K29" s="20" t="s">
        <v>161</v>
      </c>
      <c r="L29" s="45">
        <v>4.83</v>
      </c>
      <c r="M29" s="31">
        <f t="shared" si="1"/>
        <v>917.51863833</v>
      </c>
    </row>
    <row r="30" spans="10:13" ht="12.75">
      <c r="J30" s="20">
        <v>7</v>
      </c>
      <c r="K30" s="20" t="s">
        <v>163</v>
      </c>
      <c r="L30" s="25">
        <f>0.03*13.9</f>
        <v>0.417</v>
      </c>
      <c r="M30" s="31">
        <f t="shared" si="1"/>
        <v>79.214342067</v>
      </c>
    </row>
    <row r="31" spans="2:13" ht="12.75">
      <c r="B31" t="s">
        <v>0</v>
      </c>
      <c r="J31" s="20">
        <v>8</v>
      </c>
      <c r="K31" s="20" t="s">
        <v>166</v>
      </c>
      <c r="L31" s="25">
        <f>0.03*13.9</f>
        <v>0.417</v>
      </c>
      <c r="M31" s="31">
        <f t="shared" si="1"/>
        <v>79.214342067</v>
      </c>
    </row>
    <row r="32" spans="10:13" ht="12.75">
      <c r="J32" s="20">
        <v>9</v>
      </c>
      <c r="K32" s="20" t="s">
        <v>167</v>
      </c>
      <c r="L32" s="25">
        <v>2.15</v>
      </c>
      <c r="M32" s="31">
        <f t="shared" si="1"/>
        <v>408.41926965</v>
      </c>
    </row>
    <row r="33" spans="1:13" ht="12.75">
      <c r="A33" t="s">
        <v>1</v>
      </c>
      <c r="E33">
        <v>2731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E34">
        <v>236.3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/>
      <c r="K35" s="20"/>
      <c r="L35" s="25"/>
      <c r="M35" s="31">
        <f t="shared" si="1"/>
        <v>0</v>
      </c>
    </row>
    <row r="36" spans="1:13" ht="12.75">
      <c r="A36" t="s">
        <v>4</v>
      </c>
      <c r="E36">
        <v>415</v>
      </c>
      <c r="F36" t="s">
        <v>66</v>
      </c>
      <c r="J36" s="20"/>
      <c r="K36" s="28" t="s">
        <v>57</v>
      </c>
      <c r="L36" s="27">
        <f>SUM(L24:L34)</f>
        <v>23.680000000000003</v>
      </c>
      <c r="M36" s="32">
        <f>SUM(M24:M34)</f>
        <v>4498.310839680001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35</v>
      </c>
      <c r="K38" s="22"/>
      <c r="L38" s="22" t="s">
        <v>62</v>
      </c>
      <c r="M38" s="22" t="s">
        <v>41</v>
      </c>
    </row>
    <row r="39" spans="10:13" ht="12.75">
      <c r="J39" s="23" t="s">
        <v>36</v>
      </c>
      <c r="K39" s="23" t="s">
        <v>37</v>
      </c>
      <c r="L39" s="23"/>
      <c r="M39" s="23" t="s">
        <v>63</v>
      </c>
    </row>
    <row r="40" spans="1:13" ht="12.75">
      <c r="A40" s="2" t="s">
        <v>6</v>
      </c>
      <c r="F40" s="11">
        <f>38741.16-263.23</f>
        <v>38477.93</v>
      </c>
      <c r="J40" s="20">
        <v>1</v>
      </c>
      <c r="K40" s="49" t="s">
        <v>136</v>
      </c>
      <c r="L40" s="50" t="s">
        <v>137</v>
      </c>
      <c r="M40" s="50">
        <f>4*4</f>
        <v>16</v>
      </c>
    </row>
    <row r="41" spans="1:13" ht="12.75">
      <c r="A41" t="s">
        <v>7</v>
      </c>
      <c r="F41" s="11">
        <v>31216.06</v>
      </c>
      <c r="J41" s="20">
        <v>2</v>
      </c>
      <c r="K41" s="49" t="s">
        <v>138</v>
      </c>
      <c r="L41" s="50" t="s">
        <v>139</v>
      </c>
      <c r="M41" s="62">
        <f>2*102</f>
        <v>204</v>
      </c>
    </row>
    <row r="42" spans="2:13" ht="12.75">
      <c r="B42" t="s">
        <v>8</v>
      </c>
      <c r="F42" s="9">
        <f>F41/F40</f>
        <v>0.8112718121790855</v>
      </c>
      <c r="J42" s="20">
        <v>3</v>
      </c>
      <c r="K42" s="49" t="s">
        <v>141</v>
      </c>
      <c r="L42" s="50" t="s">
        <v>142</v>
      </c>
      <c r="M42" s="50">
        <f>3*500</f>
        <v>1500</v>
      </c>
    </row>
    <row r="43" spans="1:13" ht="12.75">
      <c r="A43" s="7" t="s">
        <v>126</v>
      </c>
      <c r="B43" s="7"/>
      <c r="C43" s="7"/>
      <c r="D43" s="7"/>
      <c r="E43" s="7"/>
      <c r="F43" s="5">
        <f>400+400+250</f>
        <v>1050</v>
      </c>
      <c r="J43" s="20">
        <v>4</v>
      </c>
      <c r="K43" s="20" t="s">
        <v>143</v>
      </c>
      <c r="L43" s="25" t="s">
        <v>140</v>
      </c>
      <c r="M43" s="25">
        <f>3*159</f>
        <v>477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32266.06</v>
      </c>
      <c r="J44" s="20">
        <v>5</v>
      </c>
      <c r="K44" s="20" t="s">
        <v>144</v>
      </c>
      <c r="L44" s="25" t="s">
        <v>145</v>
      </c>
      <c r="M44" s="25">
        <f>2.5*163.82</f>
        <v>409.54999999999995</v>
      </c>
    </row>
    <row r="45" spans="10:13" ht="12.75">
      <c r="J45" s="20">
        <v>6</v>
      </c>
      <c r="K45" s="20" t="s">
        <v>146</v>
      </c>
      <c r="L45" s="25" t="s">
        <v>147</v>
      </c>
      <c r="M45" s="25">
        <f>100*2.6</f>
        <v>260</v>
      </c>
    </row>
    <row r="46" spans="2:13" ht="12.75">
      <c r="B46" s="1" t="s">
        <v>10</v>
      </c>
      <c r="C46" s="1"/>
      <c r="J46" s="20">
        <v>7</v>
      </c>
      <c r="K46" s="20" t="s">
        <v>148</v>
      </c>
      <c r="L46" s="25" t="s">
        <v>149</v>
      </c>
      <c r="M46" s="25">
        <f>50*6</f>
        <v>300</v>
      </c>
    </row>
    <row r="47" spans="10:13" ht="12.75">
      <c r="J47" s="20">
        <v>8</v>
      </c>
      <c r="K47" s="20" t="s">
        <v>150</v>
      </c>
      <c r="L47" s="25" t="s">
        <v>151</v>
      </c>
      <c r="M47" s="25">
        <v>214.82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 t="s">
        <v>154</v>
      </c>
      <c r="L48" s="25" t="s">
        <v>151</v>
      </c>
      <c r="M48" s="25">
        <v>301.76</v>
      </c>
    </row>
    <row r="49" spans="1:13" ht="12.75">
      <c r="A49" t="s">
        <v>12</v>
      </c>
      <c r="F49" s="11">
        <f>5175*1.302</f>
        <v>6737.85</v>
      </c>
      <c r="J49" s="20">
        <v>10</v>
      </c>
      <c r="K49" s="20" t="s">
        <v>156</v>
      </c>
      <c r="L49" s="25" t="s">
        <v>151</v>
      </c>
      <c r="M49" s="25">
        <v>353.33</v>
      </c>
    </row>
    <row r="50" spans="1:13" ht="12.75">
      <c r="A50" s="6" t="s">
        <v>15</v>
      </c>
      <c r="F50" s="11">
        <f>2500*1.302</f>
        <v>3255</v>
      </c>
      <c r="J50" s="20">
        <v>11</v>
      </c>
      <c r="K50" s="20" t="s">
        <v>141</v>
      </c>
      <c r="L50" s="25" t="s">
        <v>158</v>
      </c>
      <c r="M50" s="25">
        <f>4*500</f>
        <v>2000</v>
      </c>
    </row>
    <row r="51" spans="1:13" ht="12.75">
      <c r="A51" s="6" t="s">
        <v>84</v>
      </c>
      <c r="B51" s="56"/>
      <c r="C51" s="56"/>
      <c r="D51" s="56"/>
      <c r="E51" s="5"/>
      <c r="F51" s="5">
        <f>E51*E33</f>
        <v>0</v>
      </c>
      <c r="J51" s="20">
        <v>12</v>
      </c>
      <c r="K51" s="20" t="s">
        <v>143</v>
      </c>
      <c r="L51" s="25" t="s">
        <v>159</v>
      </c>
      <c r="M51" s="25">
        <f>6*159</f>
        <v>954</v>
      </c>
    </row>
    <row r="52" spans="1:13" ht="12.75">
      <c r="A52" s="4" t="s">
        <v>33</v>
      </c>
      <c r="B52" s="1"/>
      <c r="F52" s="30">
        <f>F49+F50+F51</f>
        <v>9992.85</v>
      </c>
      <c r="J52" s="20">
        <v>13</v>
      </c>
      <c r="K52" s="20" t="s">
        <v>144</v>
      </c>
      <c r="L52" s="25" t="s">
        <v>145</v>
      </c>
      <c r="M52" s="25">
        <f>2.5*163.82</f>
        <v>409.54999999999995</v>
      </c>
    </row>
    <row r="53" spans="1:13" ht="12.75">
      <c r="A53" s="4" t="s">
        <v>16</v>
      </c>
      <c r="J53" s="20">
        <v>14</v>
      </c>
      <c r="K53" s="20" t="s">
        <v>160</v>
      </c>
      <c r="L53" s="25" t="s">
        <v>158</v>
      </c>
      <c r="M53" s="25">
        <f>4*50</f>
        <v>200</v>
      </c>
    </row>
    <row r="54" spans="1:13" ht="12.75">
      <c r="A54" t="s">
        <v>74</v>
      </c>
      <c r="D54" s="5">
        <v>0</v>
      </c>
      <c r="E54" t="s">
        <v>14</v>
      </c>
      <c r="F54" s="11">
        <f>D54*E33</f>
        <v>0</v>
      </c>
      <c r="J54" s="20">
        <v>15</v>
      </c>
      <c r="K54" s="20" t="s">
        <v>162</v>
      </c>
      <c r="L54" s="25" t="s">
        <v>151</v>
      </c>
      <c r="M54" s="25">
        <v>92</v>
      </c>
    </row>
    <row r="55" spans="1:13" ht="12.75">
      <c r="A55" t="s">
        <v>79</v>
      </c>
      <c r="B55">
        <v>236.3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16</v>
      </c>
      <c r="K55" s="20" t="s">
        <v>164</v>
      </c>
      <c r="L55" s="25" t="s">
        <v>140</v>
      </c>
      <c r="M55" s="25">
        <f>3*51.79</f>
        <v>155.37</v>
      </c>
    </row>
    <row r="56" spans="1:13" ht="12.75">
      <c r="A56" s="4" t="s">
        <v>17</v>
      </c>
      <c r="B56" s="4"/>
      <c r="C56" s="10"/>
      <c r="F56" s="30">
        <f>SUM(F54:F55)</f>
        <v>0</v>
      </c>
      <c r="J56" s="20">
        <v>17</v>
      </c>
      <c r="K56" s="20" t="s">
        <v>165</v>
      </c>
      <c r="L56" s="25" t="s">
        <v>140</v>
      </c>
      <c r="M56" s="25">
        <f>3*53.6</f>
        <v>160.8</v>
      </c>
    </row>
    <row r="57" spans="1:13" ht="12.75">
      <c r="A57" s="4" t="s">
        <v>18</v>
      </c>
      <c r="B57" s="4"/>
      <c r="J57" s="20">
        <v>18</v>
      </c>
      <c r="K57" s="20" t="s">
        <v>150</v>
      </c>
      <c r="L57" s="25" t="s">
        <v>151</v>
      </c>
      <c r="M57" s="25">
        <v>214.82</v>
      </c>
    </row>
    <row r="58" spans="1:13" ht="12.75">
      <c r="A58" t="s">
        <v>19</v>
      </c>
      <c r="C58" s="55">
        <v>233406</v>
      </c>
      <c r="D58">
        <v>229360</v>
      </c>
      <c r="E58">
        <v>2731</v>
      </c>
      <c r="F58" s="34">
        <f>C58/D58*E58</f>
        <v>2779.175906871294</v>
      </c>
      <c r="J58" s="20">
        <v>19</v>
      </c>
      <c r="K58" s="20" t="s">
        <v>168</v>
      </c>
      <c r="L58" s="25" t="s">
        <v>169</v>
      </c>
      <c r="M58" s="25">
        <f>30*0.85</f>
        <v>25.5</v>
      </c>
    </row>
    <row r="59" spans="1:13" ht="12.75">
      <c r="A59" t="s">
        <v>20</v>
      </c>
      <c r="F59" s="34">
        <f>M20</f>
        <v>475.73205120000006</v>
      </c>
      <c r="J59" s="20">
        <v>20</v>
      </c>
      <c r="K59" s="20"/>
      <c r="L59" s="25"/>
      <c r="M59" s="25"/>
    </row>
    <row r="60" spans="1:13" ht="12.75">
      <c r="A60" t="s">
        <v>21</v>
      </c>
      <c r="F60" s="11">
        <f>M36</f>
        <v>4498.310839680001</v>
      </c>
      <c r="J60" s="20"/>
      <c r="K60" s="20"/>
      <c r="L60" s="29" t="s">
        <v>64</v>
      </c>
      <c r="M60" s="27">
        <f>SUM(M40:M59)</f>
        <v>8248.5</v>
      </c>
    </row>
    <row r="61" spans="1:7" ht="12.75">
      <c r="A61" t="s">
        <v>72</v>
      </c>
      <c r="F61" s="5">
        <f>0*600*1.302</f>
        <v>0</v>
      </c>
      <c r="G61" s="55"/>
    </row>
    <row r="62" spans="1:6" ht="12.75">
      <c r="A62" t="s">
        <v>22</v>
      </c>
      <c r="F62" s="5">
        <f>M60</f>
        <v>8248.5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2731</v>
      </c>
      <c r="C65" t="s">
        <v>13</v>
      </c>
      <c r="D65" s="63">
        <v>0.38</v>
      </c>
      <c r="E65" t="s">
        <v>14</v>
      </c>
      <c r="F65" s="5">
        <f>B65*D65</f>
        <v>1037.78</v>
      </c>
    </row>
    <row r="66" spans="1:6" ht="12.75">
      <c r="A66" s="67" t="s">
        <v>75</v>
      </c>
      <c r="B66" s="67"/>
      <c r="C66" s="67"/>
      <c r="D66" s="67"/>
      <c r="E66" s="67"/>
      <c r="F66" s="68">
        <v>0</v>
      </c>
    </row>
    <row r="67" spans="1:6" ht="12.75">
      <c r="A67" s="43" t="s">
        <v>83</v>
      </c>
      <c r="B67" s="43"/>
      <c r="C67" s="43"/>
      <c r="D67" s="44">
        <v>0</v>
      </c>
      <c r="E67" s="43"/>
      <c r="F67" s="5">
        <f>D67*E33</f>
        <v>0</v>
      </c>
    </row>
    <row r="68" spans="1:6" ht="12.75">
      <c r="A68" s="4" t="s">
        <v>25</v>
      </c>
      <c r="B68" s="4"/>
      <c r="C68" s="10"/>
      <c r="F68" s="30">
        <f>SUM(F58:F67)</f>
        <v>17039.498797751294</v>
      </c>
    </row>
    <row r="69" ht="12.75">
      <c r="A69" s="4" t="s">
        <v>26</v>
      </c>
    </row>
    <row r="70" spans="1:6" ht="12.75">
      <c r="A70" t="s">
        <v>27</v>
      </c>
      <c r="B70">
        <v>2731</v>
      </c>
      <c r="C70" t="s">
        <v>66</v>
      </c>
      <c r="D70" s="5">
        <v>0.23</v>
      </c>
      <c r="E70" t="s">
        <v>14</v>
      </c>
      <c r="F70" s="11">
        <f>B70*D70</f>
        <v>628.13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2731</v>
      </c>
      <c r="C73" t="s">
        <v>13</v>
      </c>
      <c r="D73" s="11">
        <v>0.81</v>
      </c>
      <c r="E73" t="s">
        <v>14</v>
      </c>
      <c r="F73" s="5">
        <f>B73*D73</f>
        <v>2212.11</v>
      </c>
    </row>
    <row r="74" spans="1:6" ht="12.75">
      <c r="A74" s="4" t="s">
        <v>29</v>
      </c>
      <c r="B74" s="1"/>
      <c r="F74" s="30">
        <f>F70+F73</f>
        <v>2840.2400000000002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2731</v>
      </c>
      <c r="C77" t="s">
        <v>13</v>
      </c>
      <c r="D77" s="11">
        <v>2.34</v>
      </c>
      <c r="E77" t="s">
        <v>14</v>
      </c>
      <c r="F77" s="5">
        <f>B77*D77</f>
        <v>6390.54</v>
      </c>
    </row>
    <row r="78" spans="1:6" ht="12.75">
      <c r="A78" s="4" t="s">
        <v>31</v>
      </c>
      <c r="B78" s="1"/>
      <c r="F78" s="8">
        <f>SUM(F77)</f>
        <v>6390.54</v>
      </c>
    </row>
    <row r="79" spans="1:6" ht="12.75">
      <c r="A79" s="46" t="s">
        <v>78</v>
      </c>
      <c r="B79" s="47"/>
      <c r="C79" s="43"/>
      <c r="D79" s="44"/>
      <c r="E79" s="43"/>
      <c r="F79" s="48">
        <f>D79*E33</f>
        <v>0</v>
      </c>
    </row>
    <row r="80" spans="1:6" ht="12.75">
      <c r="A80" s="1" t="s">
        <v>32</v>
      </c>
      <c r="B80" s="1"/>
      <c r="F80" s="30">
        <f>F52+F56+F68+F74+F78+F79</f>
        <v>36263.12879775129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0">
        <f>F80*5.8%</f>
        <v>2103.2614702695746</v>
      </c>
      <c r="I81" s="7"/>
    </row>
    <row r="82" spans="1:9" ht="12.75">
      <c r="A82" s="1"/>
      <c r="B82" s="47" t="s">
        <v>128</v>
      </c>
      <c r="C82" s="43"/>
      <c r="D82" s="44"/>
      <c r="E82" s="66"/>
      <c r="F82" s="65">
        <v>2387.4</v>
      </c>
      <c r="I82" s="7"/>
    </row>
    <row r="83" spans="1:9" ht="12.75">
      <c r="A83" s="1"/>
      <c r="B83" s="47" t="s">
        <v>129</v>
      </c>
      <c r="C83" s="43"/>
      <c r="D83" s="44"/>
      <c r="E83" s="66"/>
      <c r="F83" s="65">
        <v>435.16</v>
      </c>
      <c r="I83" s="7"/>
    </row>
    <row r="84" spans="1:9" ht="12.75">
      <c r="A84" s="1"/>
      <c r="B84" s="47" t="s">
        <v>130</v>
      </c>
      <c r="C84" s="43"/>
      <c r="D84" s="44"/>
      <c r="E84" s="66"/>
      <c r="F84" s="65">
        <v>0</v>
      </c>
      <c r="I84" s="7"/>
    </row>
    <row r="85" spans="1:6" ht="13.5">
      <c r="A85" s="12" t="s">
        <v>34</v>
      </c>
      <c r="B85" s="12"/>
      <c r="C85" s="12"/>
      <c r="D85" s="12"/>
      <c r="E85" s="12"/>
      <c r="F85" s="33">
        <f>F80+F81+F82+F83+F84</f>
        <v>41188.95026802087</v>
      </c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8">
        <v>43770</v>
      </c>
      <c r="C87" s="39">
        <v>-632711</v>
      </c>
      <c r="D87" s="40">
        <f>F44</f>
        <v>32266.06</v>
      </c>
      <c r="E87" s="40">
        <f>F85</f>
        <v>41188.95026802087</v>
      </c>
      <c r="F87" s="42">
        <f>C87+D87-E87</f>
        <v>-641633.8902680208</v>
      </c>
    </row>
    <row r="90" spans="1:6" ht="13.5" thickBot="1">
      <c r="A90" t="s">
        <v>110</v>
      </c>
      <c r="C90" s="59">
        <v>43770</v>
      </c>
      <c r="D90" s="5" t="s">
        <v>111</v>
      </c>
      <c r="E90" s="59">
        <v>43799</v>
      </c>
      <c r="F90" t="s">
        <v>112</v>
      </c>
    </row>
    <row r="91" spans="1:7" ht="13.5" thickBot="1">
      <c r="A91" t="s">
        <v>119</v>
      </c>
      <c r="F91" s="60">
        <f>E87</f>
        <v>41188.95026802087</v>
      </c>
      <c r="G91" t="s">
        <v>14</v>
      </c>
    </row>
    <row r="92" ht="12.75">
      <c r="A92" t="s">
        <v>113</v>
      </c>
    </row>
    <row r="93" ht="12.75">
      <c r="A93" t="s">
        <v>114</v>
      </c>
    </row>
    <row r="94" ht="12.75">
      <c r="A94" t="s">
        <v>118</v>
      </c>
    </row>
    <row r="95" ht="12.75">
      <c r="A95" t="s">
        <v>115</v>
      </c>
    </row>
    <row r="96" ht="12.75">
      <c r="A96" t="s">
        <v>116</v>
      </c>
    </row>
    <row r="97" ht="12.75">
      <c r="A97" t="s">
        <v>117</v>
      </c>
    </row>
    <row r="98" ht="12.75">
      <c r="A98" t="s">
        <v>120</v>
      </c>
    </row>
    <row r="100" ht="12.75">
      <c r="B100" t="s">
        <v>121</v>
      </c>
    </row>
    <row r="102" ht="12.75">
      <c r="A102" t="s">
        <v>122</v>
      </c>
    </row>
    <row r="105" ht="12.75">
      <c r="A105" t="s">
        <v>123</v>
      </c>
    </row>
    <row r="108" ht="12.75">
      <c r="A108" t="s">
        <v>124</v>
      </c>
    </row>
    <row r="110" ht="12.75">
      <c r="H110" s="7"/>
    </row>
    <row r="111" ht="12.75">
      <c r="G11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2019-11-27T10:40:00Z</cp:lastPrinted>
  <dcterms:created xsi:type="dcterms:W3CDTF">2008-08-18T07:30:19Z</dcterms:created>
  <dcterms:modified xsi:type="dcterms:W3CDTF">2020-01-23T10:51:25Z</dcterms:modified>
  <cp:category/>
  <cp:version/>
  <cp:contentType/>
  <cp:contentStatus/>
</cp:coreProperties>
</file>