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<sst xmlns="http://schemas.openxmlformats.org/spreadsheetml/2006/main" count="256" uniqueCount="193">
  <si>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</si>
  <si>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</si>
  <si>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</si>
  <si>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</si>
  <si>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</si>
  <si>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</si>
  <si>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</si>
  <si>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</si>
  <si>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</si>
  <si>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</si>
  <si>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</si>
  <si>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</si>
  <si>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</si>
  <si>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</si>
  <si>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</si>
  <si>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</si>
  <si>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</si>
  <si>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</si>
  <si>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</si>
  <si>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</si>
  <si>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</si>
  <si>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</si>
  <si>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</si>
  <si>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</si>
  <si>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</si>
  <si>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</si>
  <si>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</si>
  <si>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</si>
  <si>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</si>
  <si>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</si>
  <si>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</si>
  <si>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</si>
  <si>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</si>
  <si>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</si>
  <si>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</si>
  <si>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</si>
  <si>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</si>
  <si>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</si>
  <si>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</si>
  <si>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</si>
  <si>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</si>
  <si>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</si>
  <si>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</si>
  <si>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</si>
  <si>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</si>
  <si>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</si>
  <si>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</si>
  <si>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</si>
  <si>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</si>
  <si>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</si>
  <si>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</si>
  <si>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</si>
  <si>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</si>
  <si>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</si>
  <si>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</si>
  <si>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</si>
  <si>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</si>
  <si>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</si>
  <si>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</si>
  <si>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</si>
  <si>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</si>
  <si>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</si>
  <si>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</si>
  <si>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</si>
  <si>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</si>
  <si>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</si>
  <si>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</si>
  <si>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д.19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</si>
  <si>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</si>
  <si>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</si>
  <si>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</si>
  <si>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</si>
  <si>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</si>
  <si>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</si>
  <si>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</si>
  <si>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</si>
  <si>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</si>
  <si>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</si>
  <si>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</si>
  <si>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</si>
  <si>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</si>
  <si>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</si>
  <si>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</si>
  <si>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</si>
  <si>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</si>
  <si>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</si>
  <si>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</si>
  <si>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</si>
  <si>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</si>
  <si>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</si>
  <si>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</si>
  <si>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</si>
  <si>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</si>
  <si>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</si>
  <si>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</si>
  <si>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</si>
  <si>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</si>
  <si>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</si>
  <si>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</si>
  <si>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</si>
  <si>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</si>
  <si>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</si>
  <si>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</si>
  <si>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</si>
  <si>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</si>
  <si>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</si>
  <si>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</si>
  <si>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</si>
  <si>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</si>
  <si>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</si>
  <si>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</si>
  <si>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</si>
  <si>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</si>
  <si>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</si>
  <si>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</si>
  <si>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</si>
  <si>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</si>
  <si>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</si>
  <si>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</si>
  <si>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</si>
  <si>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</si>
  <si>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</si>
  <si>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</si>
  <si>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</si>
  <si>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</si>
  <si>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</si>
  <si>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9"/>
        <rFont val="Arial Cyr"/>
        <family val="0"/>
      </rPr>
      <t>(Спарк, ростелеком, ИП Шелехина",комстар)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</si>
  <si>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</si>
  <si>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</si>
  <si>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</si>
  <si>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</si>
  <si>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</si>
  <si>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декабря</t>
  </si>
  <si>
    <t>за   декабрь  2019 г.</t>
  </si>
  <si>
    <t>ост.на 01.01</t>
  </si>
  <si>
    <t>смена труб д 32 п.пр. (12мп) кв.18</t>
  </si>
  <si>
    <t>смена вентиля д 25 (1шт) кв.18</t>
  </si>
  <si>
    <t>смена вентиля д 15 (2шт) кв.18</t>
  </si>
  <si>
    <t>смена труб д 50 пвх (2мп) кв.18</t>
  </si>
  <si>
    <t>американка</t>
  </si>
  <si>
    <t>3щь</t>
  </si>
  <si>
    <t>труба 32 п.пр.</t>
  </si>
  <si>
    <t>12мп</t>
  </si>
  <si>
    <t xml:space="preserve">переход </t>
  </si>
  <si>
    <t>2шт</t>
  </si>
  <si>
    <t>тройник 32</t>
  </si>
  <si>
    <t>вентиль д 25</t>
  </si>
  <si>
    <t>1шт</t>
  </si>
  <si>
    <t>уголок 20</t>
  </si>
  <si>
    <t>6шт</t>
  </si>
  <si>
    <t>10шт</t>
  </si>
  <si>
    <t>муфта 20</t>
  </si>
  <si>
    <t>вентиль д 15</t>
  </si>
  <si>
    <t>труба д 110 пвх 0,3м</t>
  </si>
  <si>
    <t>труба д 110 пвх 2мп</t>
  </si>
  <si>
    <t xml:space="preserve">труба д 50 пвх </t>
  </si>
  <si>
    <t>2мп</t>
  </si>
  <si>
    <t xml:space="preserve">уголок </t>
  </si>
  <si>
    <t>круг отр.</t>
  </si>
  <si>
    <t>установка заглушки (1шт) кв.18</t>
  </si>
  <si>
    <t>смена труб д 110 пвх (4,3мп) кв.18</t>
  </si>
  <si>
    <t>уголок 110 пвх</t>
  </si>
  <si>
    <t>муфта 110</t>
  </si>
  <si>
    <t>манжета 110</t>
  </si>
  <si>
    <t xml:space="preserve">трапер </t>
  </si>
  <si>
    <t>переход 110</t>
  </si>
  <si>
    <t>заглушка 110</t>
  </si>
  <si>
    <t>тройник 110</t>
  </si>
  <si>
    <t>труба д 110 2мп</t>
  </si>
  <si>
    <t>трапер 110</t>
  </si>
  <si>
    <t>смена вентиля д 20 (1шт) подвал</t>
  </si>
  <si>
    <t>смена сгона д 25 (1шт) подвал</t>
  </si>
  <si>
    <t>вентиль д 20</t>
  </si>
  <si>
    <t>бочонок 20</t>
  </si>
  <si>
    <t>тройник 20</t>
  </si>
  <si>
    <t xml:space="preserve">американка </t>
  </si>
  <si>
    <t>муфта паячные</t>
  </si>
  <si>
    <t>диск</t>
  </si>
  <si>
    <t>сгон 25</t>
  </si>
  <si>
    <t>к/гайка 25</t>
  </si>
  <si>
    <t>муфта 25</t>
  </si>
  <si>
    <t>смена труб д 20 п.пр. (8мп) кв.18</t>
  </si>
  <si>
    <t>труба д 20 п.пр. (8мп) кв.18</t>
  </si>
  <si>
    <t>8мп</t>
  </si>
  <si>
    <t>американка 20</t>
  </si>
  <si>
    <t>4шт</t>
  </si>
  <si>
    <t>уголок 32</t>
  </si>
  <si>
    <t>бочонок 15</t>
  </si>
  <si>
    <t>тройник 15</t>
  </si>
  <si>
    <t>гебо 25</t>
  </si>
  <si>
    <t>смена ламп (8 шт)</t>
  </si>
  <si>
    <t>лампа</t>
  </si>
  <si>
    <t>8шт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</si>
</sst>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2" fontId="0" fillId="34" borderId="0" xfId="0" applyNumberFormat="1" applyFill="1" applyAlignment="1">
      <alignment horizontal="center"/>
    </xf>
    <xf numFmtId="0" fontId="3" fillId="34" borderId="0" xfId="0" applyFont="1" applyFill="1" applyAlignment="1">
      <alignment/>
    </xf>
    <xf numFmtId="2" fontId="1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5">
      <selection activeCell="M85" sqref="M85"/>
    </sheetView>
  </sheetViews>
  <sheetFormatPr defaultColWidth="9.00390625" defaultRowHeight="12.75"/>
  <cols>
    <col min="1" max="1" width="15.50390625" style="0" customWidth="1"/>
    <col min="3" max="3" width="12.375" style="0" customWidth="1"/>
    <col min="4" max="4" width="11.125" style="0" customWidth="1"/>
    <col min="5" max="5" width="13.125" style="0" customWidth="1"/>
    <col min="6" max="6" width="11.3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12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0</v>
      </c>
      <c r="M6" s="46">
        <f>L6*126.87*1.302</f>
        <v>0</v>
      </c>
    </row>
    <row r="7" spans="2:13" ht="12.75">
      <c r="B7" t="s">
        <v>89</v>
      </c>
      <c r="C7" s="1" t="s">
        <v>90</v>
      </c>
      <c r="D7" s="8">
        <v>19</v>
      </c>
      <c r="J7" s="14">
        <v>2</v>
      </c>
      <c r="K7" s="14" t="s">
        <v>44</v>
      </c>
      <c r="L7" s="14"/>
      <c r="M7" s="46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3.3</v>
      </c>
      <c r="M11" s="46">
        <f t="shared" si="0"/>
        <v>545.109642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3.3</v>
      </c>
      <c r="M13" s="46">
        <f t="shared" si="0"/>
        <v>545.109642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6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6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6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12.5</v>
      </c>
      <c r="M17" s="46">
        <f t="shared" si="0"/>
        <v>2064.8092500000002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6">
        <f t="shared" si="0"/>
        <v>371.665665</v>
      </c>
    </row>
    <row r="19" spans="1:13" ht="12.75">
      <c r="A19" t="s">
        <v>101</v>
      </c>
      <c r="J19" s="16" t="s">
        <v>81</v>
      </c>
      <c r="K19" s="18" t="s">
        <v>57</v>
      </c>
      <c r="L19" s="23">
        <v>0.5</v>
      </c>
      <c r="M19" s="46">
        <f t="shared" si="0"/>
        <v>82.59237</v>
      </c>
    </row>
    <row r="20" spans="1:13" ht="12.75">
      <c r="A20" t="s">
        <v>102</v>
      </c>
      <c r="J20" s="20"/>
      <c r="K20" s="27" t="s">
        <v>58</v>
      </c>
      <c r="L20" s="28">
        <f>SUM(L6:L19)</f>
        <v>21.85</v>
      </c>
      <c r="M20" s="32">
        <f>SUM(M6:M19)</f>
        <v>3609.286569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135</v>
      </c>
      <c r="L24" s="46">
        <f>0.12*146.9</f>
        <v>17.628</v>
      </c>
      <c r="M24" s="31">
        <f>L24*126.87*1.302*1.15</f>
        <v>3348.658086228</v>
      </c>
    </row>
    <row r="25" spans="1:13" ht="12.75">
      <c r="A25" t="s">
        <v>106</v>
      </c>
      <c r="J25" s="20">
        <v>2</v>
      </c>
      <c r="K25" s="20" t="s">
        <v>136</v>
      </c>
      <c r="L25" s="46">
        <v>1.03</v>
      </c>
      <c r="M25" s="31">
        <f aca="true" t="shared" si="1" ref="M25:M37">L25*126.87*1.302*1.15</f>
        <v>195.66132453000003</v>
      </c>
    </row>
    <row r="26" spans="1:13" ht="12.75">
      <c r="A26" t="s">
        <v>107</v>
      </c>
      <c r="J26" s="20">
        <v>3</v>
      </c>
      <c r="K26" s="20" t="s">
        <v>137</v>
      </c>
      <c r="L26" s="46">
        <v>1.62</v>
      </c>
      <c r="M26" s="31">
        <f t="shared" si="1"/>
        <v>307.73917062000004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 t="s">
        <v>160</v>
      </c>
      <c r="L27" s="46">
        <f>0.043*146.9</f>
        <v>6.3167</v>
      </c>
      <c r="M27" s="31">
        <f t="shared" si="1"/>
        <v>1199.9358142317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138</v>
      </c>
      <c r="L28" s="46">
        <f>0.02*133.04</f>
        <v>2.6608</v>
      </c>
      <c r="M28" s="31">
        <f t="shared" si="1"/>
        <v>505.45208962079994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159</v>
      </c>
      <c r="L29" s="46">
        <v>1.12</v>
      </c>
      <c r="M29" s="31">
        <f t="shared" si="1"/>
        <v>212.75794512000002</v>
      </c>
    </row>
    <row r="30" spans="10:13" ht="12.75">
      <c r="J30" s="20">
        <v>7</v>
      </c>
      <c r="K30" s="20" t="s">
        <v>170</v>
      </c>
      <c r="L30" s="25">
        <v>0.81</v>
      </c>
      <c r="M30" s="31">
        <f t="shared" si="1"/>
        <v>153.86958531000002</v>
      </c>
    </row>
    <row r="31" spans="2:13" ht="12.75">
      <c r="B31" t="s">
        <v>0</v>
      </c>
      <c r="J31" s="20">
        <v>8</v>
      </c>
      <c r="K31" s="20" t="s">
        <v>171</v>
      </c>
      <c r="L31" s="25">
        <v>0.41</v>
      </c>
      <c r="M31" s="31">
        <f t="shared" si="1"/>
        <v>77.88460491</v>
      </c>
    </row>
    <row r="32" spans="10:13" ht="12.75">
      <c r="J32" s="20">
        <v>9</v>
      </c>
      <c r="K32" s="20" t="s">
        <v>181</v>
      </c>
      <c r="L32" s="46">
        <f>0.08*224.9</f>
        <v>17.992</v>
      </c>
      <c r="M32" s="31">
        <f t="shared" si="1"/>
        <v>3417.8044183920006</v>
      </c>
    </row>
    <row r="33" spans="1:13" ht="12.75">
      <c r="A33" t="s">
        <v>1</v>
      </c>
      <c r="E33">
        <v>3141.3</v>
      </c>
      <c r="F33" t="s">
        <v>66</v>
      </c>
      <c r="J33" s="20">
        <v>10</v>
      </c>
      <c r="K33" s="20" t="s">
        <v>137</v>
      </c>
      <c r="L33" s="46">
        <f>2*0.81</f>
        <v>1.62</v>
      </c>
      <c r="M33" s="31">
        <f t="shared" si="1"/>
        <v>307.73917062000004</v>
      </c>
    </row>
    <row r="34" spans="1:13" ht="12.75">
      <c r="A34" t="s">
        <v>2</v>
      </c>
      <c r="E34">
        <v>824.1</v>
      </c>
      <c r="F34" t="s">
        <v>66</v>
      </c>
      <c r="J34" s="20">
        <v>11</v>
      </c>
      <c r="K34" s="20" t="s">
        <v>136</v>
      </c>
      <c r="L34" s="25">
        <v>1.03</v>
      </c>
      <c r="M34" s="31">
        <f t="shared" si="1"/>
        <v>195.66132453000003</v>
      </c>
    </row>
    <row r="35" spans="1:13" ht="12.75">
      <c r="A35" t="s">
        <v>3</v>
      </c>
      <c r="J35" s="20">
        <v>12</v>
      </c>
      <c r="K35" s="20" t="s">
        <v>190</v>
      </c>
      <c r="L35" s="46">
        <f>0.08*7.1</f>
        <v>0.568</v>
      </c>
      <c r="M35" s="31">
        <f t="shared" si="1"/>
        <v>107.89867216799998</v>
      </c>
    </row>
    <row r="36" spans="1:13" ht="12.75">
      <c r="A36" t="s">
        <v>4</v>
      </c>
      <c r="E36">
        <v>345.5</v>
      </c>
      <c r="F36" t="s">
        <v>66</v>
      </c>
      <c r="J36" s="20">
        <v>13</v>
      </c>
      <c r="K36" s="20"/>
      <c r="L36" s="25"/>
      <c r="M36" s="31">
        <f t="shared" si="1"/>
        <v>0</v>
      </c>
    </row>
    <row r="37" spans="10:13" ht="12.75">
      <c r="J37" s="20">
        <v>14</v>
      </c>
      <c r="K37" s="20"/>
      <c r="L37" s="25"/>
      <c r="M37" s="31">
        <f t="shared" si="1"/>
        <v>0</v>
      </c>
    </row>
    <row r="38" spans="2:13" ht="12.75">
      <c r="B38" s="1" t="s">
        <v>5</v>
      </c>
      <c r="C38" s="1"/>
      <c r="J38" s="20"/>
      <c r="K38" s="30" t="s">
        <v>58</v>
      </c>
      <c r="L38" s="32">
        <f>SUM(L24:L37)</f>
        <v>52.8055</v>
      </c>
      <c r="M38" s="32">
        <f>SUM(M24:M37)</f>
        <v>10031.062206280498</v>
      </c>
    </row>
    <row r="39" ht="12.75">
      <c r="K39" s="1" t="s">
        <v>62</v>
      </c>
    </row>
    <row r="40" spans="1:13" ht="12.75">
      <c r="A40" s="2" t="s">
        <v>6</v>
      </c>
      <c r="F40" s="11">
        <f>46106.52-7787.35</f>
        <v>38319.17</v>
      </c>
      <c r="J40" s="22" t="s">
        <v>36</v>
      </c>
      <c r="K40" s="22"/>
      <c r="L40" s="22" t="s">
        <v>63</v>
      </c>
      <c r="M40" s="22" t="s">
        <v>42</v>
      </c>
    </row>
    <row r="41" spans="1:13" ht="12.75">
      <c r="A41" t="s">
        <v>7</v>
      </c>
      <c r="F41" s="5">
        <v>56964.64</v>
      </c>
      <c r="J41" s="23" t="s">
        <v>37</v>
      </c>
      <c r="K41" s="23" t="s">
        <v>38</v>
      </c>
      <c r="L41" s="23"/>
      <c r="M41" s="23" t="s">
        <v>64</v>
      </c>
    </row>
    <row r="42" spans="2:13" ht="12.75">
      <c r="B42" t="s">
        <v>8</v>
      </c>
      <c r="F42" s="9">
        <f>F41/F40</f>
        <v>1.486583347186278</v>
      </c>
      <c r="J42" s="20">
        <v>1</v>
      </c>
      <c r="K42" s="20" t="s">
        <v>139</v>
      </c>
      <c r="L42" s="25" t="s">
        <v>140</v>
      </c>
      <c r="M42" s="25">
        <f>3*155</f>
        <v>465</v>
      </c>
    </row>
    <row r="43" spans="1:13" ht="12.75">
      <c r="A43" t="s">
        <v>126</v>
      </c>
      <c r="E43" s="53"/>
      <c r="F43" s="11">
        <f>250+400+250+(27.3*13.65)</f>
        <v>1272.645</v>
      </c>
      <c r="J43" s="20">
        <v>2</v>
      </c>
      <c r="K43" s="20" t="s">
        <v>141</v>
      </c>
      <c r="L43" s="25" t="s">
        <v>142</v>
      </c>
      <c r="M43" s="25">
        <f>12*149</f>
        <v>1788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58237.284999999996</v>
      </c>
      <c r="J44" s="20">
        <v>3</v>
      </c>
      <c r="K44" s="20" t="s">
        <v>143</v>
      </c>
      <c r="L44" s="23" t="s">
        <v>144</v>
      </c>
      <c r="M44" s="23">
        <f>2*115</f>
        <v>230</v>
      </c>
    </row>
    <row r="45" spans="10:13" ht="12.75">
      <c r="J45" s="20">
        <v>4</v>
      </c>
      <c r="K45" s="20" t="s">
        <v>145</v>
      </c>
      <c r="L45" s="23" t="s">
        <v>144</v>
      </c>
      <c r="M45" s="23">
        <f>2*15.5</f>
        <v>31</v>
      </c>
    </row>
    <row r="46" spans="2:13" ht="12.75">
      <c r="B46" s="1" t="s">
        <v>10</v>
      </c>
      <c r="C46" s="1"/>
      <c r="J46" s="20">
        <v>5</v>
      </c>
      <c r="K46" s="20" t="s">
        <v>146</v>
      </c>
      <c r="L46" s="23" t="s">
        <v>147</v>
      </c>
      <c r="M46" s="23">
        <f>2*459.07</f>
        <v>918.14</v>
      </c>
    </row>
    <row r="47" spans="10:13" ht="12.75">
      <c r="J47" s="20">
        <v>6</v>
      </c>
      <c r="K47" s="20" t="s">
        <v>148</v>
      </c>
      <c r="L47" s="23" t="s">
        <v>149</v>
      </c>
      <c r="M47" s="23">
        <f>6*4</f>
        <v>24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7</v>
      </c>
      <c r="K48" s="20" t="s">
        <v>151</v>
      </c>
      <c r="L48" s="23" t="s">
        <v>144</v>
      </c>
      <c r="M48" s="23">
        <f>2*51</f>
        <v>102</v>
      </c>
    </row>
    <row r="49" spans="1:13" ht="12.75">
      <c r="A49" t="s">
        <v>12</v>
      </c>
      <c r="E49" s="5"/>
      <c r="F49" s="5">
        <f>5850*1.302</f>
        <v>7616.7</v>
      </c>
      <c r="J49" s="20">
        <v>8</v>
      </c>
      <c r="K49" s="20" t="s">
        <v>152</v>
      </c>
      <c r="L49" s="23" t="s">
        <v>144</v>
      </c>
      <c r="M49" s="23">
        <f>2*288.9</f>
        <v>577.8</v>
      </c>
    </row>
    <row r="50" spans="1:13" ht="12.75">
      <c r="A50" s="6" t="s">
        <v>15</v>
      </c>
      <c r="E50" s="5"/>
      <c r="F50" s="5">
        <f>1600*1.302</f>
        <v>2083.2000000000003</v>
      </c>
      <c r="J50" s="20">
        <v>9</v>
      </c>
      <c r="K50" s="20" t="s">
        <v>153</v>
      </c>
      <c r="L50" s="23" t="s">
        <v>147</v>
      </c>
      <c r="M50" s="23">
        <v>81</v>
      </c>
    </row>
    <row r="51" spans="1:13" ht="12.75">
      <c r="A51" s="56" t="s">
        <v>83</v>
      </c>
      <c r="B51" s="57"/>
      <c r="C51" s="57"/>
      <c r="D51" s="57"/>
      <c r="E51" s="58">
        <v>0.43</v>
      </c>
      <c r="F51" s="59">
        <f>E51*E33</f>
        <v>1350.759</v>
      </c>
      <c r="J51" s="20">
        <v>10</v>
      </c>
      <c r="K51" s="20" t="s">
        <v>154</v>
      </c>
      <c r="L51" s="23" t="s">
        <v>147</v>
      </c>
      <c r="M51" s="23">
        <v>316</v>
      </c>
    </row>
    <row r="52" spans="1:13" ht="12.75">
      <c r="A52" s="4" t="s">
        <v>34</v>
      </c>
      <c r="D52" s="5"/>
      <c r="F52" s="33">
        <f>F49+F50+F51</f>
        <v>11050.659</v>
      </c>
      <c r="J52" s="20">
        <v>11</v>
      </c>
      <c r="K52" s="20" t="s">
        <v>155</v>
      </c>
      <c r="L52" s="23" t="s">
        <v>156</v>
      </c>
      <c r="M52" s="23">
        <f>2*72.25</f>
        <v>144.5</v>
      </c>
    </row>
    <row r="53" spans="1:13" ht="12.75">
      <c r="A53" s="4" t="s">
        <v>16</v>
      </c>
      <c r="D53" s="5"/>
      <c r="J53" s="20">
        <v>12</v>
      </c>
      <c r="K53" s="20" t="s">
        <v>157</v>
      </c>
      <c r="L53" s="23" t="s">
        <v>147</v>
      </c>
      <c r="M53" s="23">
        <f>58.91</f>
        <v>58.91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13</v>
      </c>
      <c r="K54" s="20" t="s">
        <v>158</v>
      </c>
      <c r="L54" s="23" t="s">
        <v>150</v>
      </c>
      <c r="M54" s="23">
        <f>10*23.31</f>
        <v>233.1</v>
      </c>
    </row>
    <row r="55" spans="1:13" ht="12.75">
      <c r="A55" t="s">
        <v>79</v>
      </c>
      <c r="B55">
        <v>824.1</v>
      </c>
      <c r="C55" t="s">
        <v>13</v>
      </c>
      <c r="D55" s="5">
        <v>0.1</v>
      </c>
      <c r="E55" t="s">
        <v>14</v>
      </c>
      <c r="F55" s="11">
        <f>B55*D55</f>
        <v>82.41000000000001</v>
      </c>
      <c r="J55" s="20">
        <v>14</v>
      </c>
      <c r="K55" s="20" t="s">
        <v>161</v>
      </c>
      <c r="L55" s="23" t="s">
        <v>147</v>
      </c>
      <c r="M55" s="23">
        <v>42</v>
      </c>
    </row>
    <row r="56" spans="1:13" ht="12.75">
      <c r="A56" s="4" t="s">
        <v>17</v>
      </c>
      <c r="B56" s="10"/>
      <c r="C56" s="10"/>
      <c r="F56" s="33">
        <f>SUM(F54:F55)</f>
        <v>82.41000000000001</v>
      </c>
      <c r="J56" s="20">
        <v>15</v>
      </c>
      <c r="K56" s="20" t="s">
        <v>162</v>
      </c>
      <c r="L56" s="23" t="s">
        <v>147</v>
      </c>
      <c r="M56" s="23">
        <v>70.08</v>
      </c>
    </row>
    <row r="57" spans="1:13" ht="12.75">
      <c r="A57" s="4" t="s">
        <v>18</v>
      </c>
      <c r="B57" s="4"/>
      <c r="J57" s="20">
        <v>16</v>
      </c>
      <c r="K57" s="20" t="s">
        <v>163</v>
      </c>
      <c r="L57" s="23" t="s">
        <v>147</v>
      </c>
      <c r="M57" s="23">
        <v>43</v>
      </c>
    </row>
    <row r="58" spans="1:13" ht="12.75">
      <c r="A58" t="s">
        <v>19</v>
      </c>
      <c r="C58" s="47">
        <v>240839</v>
      </c>
      <c r="D58">
        <v>229360</v>
      </c>
      <c r="E58">
        <v>3141.3</v>
      </c>
      <c r="F58" s="36">
        <f>C58/D58*E58</f>
        <v>3298.515655301709</v>
      </c>
      <c r="J58" s="20">
        <v>17</v>
      </c>
      <c r="K58" s="20" t="s">
        <v>164</v>
      </c>
      <c r="L58" s="23" t="s">
        <v>147</v>
      </c>
      <c r="M58" s="23">
        <v>117.8</v>
      </c>
    </row>
    <row r="59" spans="1:13" ht="12.75">
      <c r="A59" t="s">
        <v>20</v>
      </c>
      <c r="F59" s="36">
        <f>M20</f>
        <v>3609.286569</v>
      </c>
      <c r="J59" s="20">
        <v>18</v>
      </c>
      <c r="K59" s="20" t="s">
        <v>165</v>
      </c>
      <c r="L59" s="23" t="s">
        <v>147</v>
      </c>
      <c r="M59" s="23">
        <v>228</v>
      </c>
    </row>
    <row r="60" spans="1:13" ht="12.75">
      <c r="A60" t="s">
        <v>21</v>
      </c>
      <c r="F60" s="11">
        <v>0</v>
      </c>
      <c r="J60" s="20">
        <v>19</v>
      </c>
      <c r="K60" s="20" t="s">
        <v>166</v>
      </c>
      <c r="L60" s="23" t="s">
        <v>147</v>
      </c>
      <c r="M60" s="23">
        <v>16</v>
      </c>
    </row>
    <row r="61" spans="1:13" ht="12.75">
      <c r="A61" t="s">
        <v>73</v>
      </c>
      <c r="F61" s="5">
        <f>1*600*1.302</f>
        <v>781.2</v>
      </c>
      <c r="J61" s="20">
        <v>20</v>
      </c>
      <c r="K61" s="20" t="s">
        <v>167</v>
      </c>
      <c r="L61" s="23" t="s">
        <v>144</v>
      </c>
      <c r="M61" s="23">
        <f>2*84.8</f>
        <v>169.6</v>
      </c>
    </row>
    <row r="62" spans="1:13" ht="12.75">
      <c r="A62" t="s">
        <v>22</v>
      </c>
      <c r="F62" s="5">
        <f>M88</f>
        <v>9825.169999999998</v>
      </c>
      <c r="J62" s="20">
        <v>21</v>
      </c>
      <c r="K62" s="20" t="s">
        <v>168</v>
      </c>
      <c r="L62" s="23" t="s">
        <v>147</v>
      </c>
      <c r="M62" s="23">
        <v>154.36</v>
      </c>
    </row>
    <row r="63" spans="1:13" ht="12.75">
      <c r="A63" t="s">
        <v>23</v>
      </c>
      <c r="F63" s="5"/>
      <c r="J63" s="20">
        <v>22</v>
      </c>
      <c r="K63" s="20" t="s">
        <v>169</v>
      </c>
      <c r="L63" s="23" t="s">
        <v>144</v>
      </c>
      <c r="M63" s="23">
        <f>2*84.8</f>
        <v>169.6</v>
      </c>
    </row>
    <row r="64" spans="1:13" ht="12.75">
      <c r="A64" t="s">
        <v>24</v>
      </c>
      <c r="F64" s="5"/>
      <c r="J64" s="20">
        <v>23</v>
      </c>
      <c r="K64" s="20" t="s">
        <v>172</v>
      </c>
      <c r="L64" s="23" t="s">
        <v>147</v>
      </c>
      <c r="M64" s="23">
        <v>374.28</v>
      </c>
    </row>
    <row r="65" spans="1:13" ht="12.75">
      <c r="A65" s="54"/>
      <c r="B65" s="54">
        <v>3141.3</v>
      </c>
      <c r="C65" s="54" t="s">
        <v>13</v>
      </c>
      <c r="D65" s="55">
        <v>0.22</v>
      </c>
      <c r="E65" s="54" t="s">
        <v>14</v>
      </c>
      <c r="F65" s="55">
        <f>B65*D65</f>
        <v>691.086</v>
      </c>
      <c r="J65" s="20">
        <v>24</v>
      </c>
      <c r="K65" s="20" t="s">
        <v>173</v>
      </c>
      <c r="L65" s="23" t="s">
        <v>144</v>
      </c>
      <c r="M65" s="23">
        <f>2*22.67</f>
        <v>45.34</v>
      </c>
    </row>
    <row r="66" spans="1:13" ht="12.75">
      <c r="A66" s="54" t="s">
        <v>78</v>
      </c>
      <c r="B66" s="54"/>
      <c r="C66" s="54"/>
      <c r="D66" s="55"/>
      <c r="E66" s="54"/>
      <c r="F66" s="55">
        <v>0</v>
      </c>
      <c r="J66" s="20">
        <v>25</v>
      </c>
      <c r="K66" s="20" t="s">
        <v>174</v>
      </c>
      <c r="L66" s="23" t="s">
        <v>147</v>
      </c>
      <c r="M66" s="23">
        <v>6</v>
      </c>
    </row>
    <row r="67" spans="1:13" ht="12.75">
      <c r="A67" s="57" t="s">
        <v>84</v>
      </c>
      <c r="B67" s="57"/>
      <c r="C67" s="57"/>
      <c r="D67" s="59">
        <v>0.32</v>
      </c>
      <c r="E67" s="57"/>
      <c r="F67" s="59">
        <f>D67*E33</f>
        <v>1005.2160000000001</v>
      </c>
      <c r="J67" s="20">
        <v>26</v>
      </c>
      <c r="K67" s="20" t="s">
        <v>175</v>
      </c>
      <c r="L67" s="23" t="s">
        <v>144</v>
      </c>
      <c r="M67" s="23">
        <f>2*141</f>
        <v>282</v>
      </c>
    </row>
    <row r="68" spans="1:13" ht="12.75">
      <c r="A68" s="4" t="s">
        <v>25</v>
      </c>
      <c r="B68" s="10"/>
      <c r="C68" s="10"/>
      <c r="F68" s="33">
        <f>SUM(F58:F67)</f>
        <v>19210.474224301706</v>
      </c>
      <c r="J68" s="20">
        <v>27</v>
      </c>
      <c r="K68" s="20" t="s">
        <v>157</v>
      </c>
      <c r="L68" s="23" t="s">
        <v>147</v>
      </c>
      <c r="M68" s="23">
        <v>10.5</v>
      </c>
    </row>
    <row r="69" spans="1:13" ht="12.75">
      <c r="A69" s="4" t="s">
        <v>26</v>
      </c>
      <c r="J69" s="20">
        <v>28</v>
      </c>
      <c r="K69" s="20" t="s">
        <v>176</v>
      </c>
      <c r="L69" s="23" t="s">
        <v>147</v>
      </c>
      <c r="M69" s="23">
        <v>26</v>
      </c>
    </row>
    <row r="70" spans="1:13" ht="12.75">
      <c r="A70" t="s">
        <v>27</v>
      </c>
      <c r="B70">
        <v>3141.3</v>
      </c>
      <c r="C70" t="s">
        <v>66</v>
      </c>
      <c r="D70" s="5">
        <v>0.23</v>
      </c>
      <c r="E70" t="s">
        <v>14</v>
      </c>
      <c r="F70" s="11">
        <f>B70*D70</f>
        <v>722.499</v>
      </c>
      <c r="J70" s="20">
        <v>29</v>
      </c>
      <c r="K70" s="20" t="s">
        <v>177</v>
      </c>
      <c r="L70" s="23" t="s">
        <v>147</v>
      </c>
      <c r="M70" s="23">
        <v>55</v>
      </c>
    </row>
    <row r="71" spans="1:13" ht="12.75">
      <c r="A71" t="s">
        <v>28</v>
      </c>
      <c r="F71" s="5"/>
      <c r="J71" s="20">
        <v>30</v>
      </c>
      <c r="K71" s="20" t="s">
        <v>178</v>
      </c>
      <c r="L71" s="23" t="s">
        <v>147</v>
      </c>
      <c r="M71" s="23">
        <v>46.14</v>
      </c>
    </row>
    <row r="72" spans="1:13" ht="12.75">
      <c r="A72" s="7" t="s">
        <v>72</v>
      </c>
      <c r="F72" s="5"/>
      <c r="J72" s="20">
        <v>31</v>
      </c>
      <c r="K72" s="20" t="s">
        <v>179</v>
      </c>
      <c r="L72" s="23" t="s">
        <v>147</v>
      </c>
      <c r="M72" s="23">
        <v>30</v>
      </c>
    </row>
    <row r="73" spans="2:13" ht="12.75">
      <c r="B73">
        <v>3141.3</v>
      </c>
      <c r="C73" t="s">
        <v>13</v>
      </c>
      <c r="D73" s="11">
        <v>0.91</v>
      </c>
      <c r="E73" t="s">
        <v>14</v>
      </c>
      <c r="F73" s="11">
        <f>B73*D73</f>
        <v>2858.583</v>
      </c>
      <c r="J73" s="20">
        <v>32</v>
      </c>
      <c r="K73" s="20" t="s">
        <v>180</v>
      </c>
      <c r="L73" s="23" t="s">
        <v>147</v>
      </c>
      <c r="M73" s="23">
        <v>6</v>
      </c>
    </row>
    <row r="74" spans="1:13" ht="12.75">
      <c r="A74" s="4" t="s">
        <v>29</v>
      </c>
      <c r="F74" s="33">
        <f>F70+F73</f>
        <v>3581.0820000000003</v>
      </c>
      <c r="J74" s="20">
        <v>33</v>
      </c>
      <c r="K74" s="20" t="s">
        <v>182</v>
      </c>
      <c r="L74" s="23" t="s">
        <v>183</v>
      </c>
      <c r="M74" s="23">
        <f>8*72.92</f>
        <v>583.36</v>
      </c>
    </row>
    <row r="75" spans="1:13" ht="12.75">
      <c r="A75" s="4" t="s">
        <v>30</v>
      </c>
      <c r="J75" s="20">
        <v>34</v>
      </c>
      <c r="K75" s="20" t="s">
        <v>184</v>
      </c>
      <c r="L75" s="23" t="s">
        <v>185</v>
      </c>
      <c r="M75" s="23">
        <f>4*103</f>
        <v>412</v>
      </c>
    </row>
    <row r="76" spans="1:13" ht="12.75">
      <c r="A76" s="7" t="s">
        <v>31</v>
      </c>
      <c r="B76" s="7"/>
      <c r="C76" s="7"/>
      <c r="D76" s="7"/>
      <c r="E76" s="7"/>
      <c r="F76" s="7"/>
      <c r="J76" s="20">
        <v>35</v>
      </c>
      <c r="K76" s="20" t="s">
        <v>151</v>
      </c>
      <c r="L76" s="23" t="s">
        <v>144</v>
      </c>
      <c r="M76" s="23">
        <f>2*42.33</f>
        <v>84.66</v>
      </c>
    </row>
    <row r="77" spans="2:13" ht="12.75">
      <c r="B77">
        <v>3141.3</v>
      </c>
      <c r="C77" t="s">
        <v>13</v>
      </c>
      <c r="D77" s="11">
        <v>2.23</v>
      </c>
      <c r="E77" t="s">
        <v>14</v>
      </c>
      <c r="F77" s="5">
        <f>B77*D77</f>
        <v>7005.099</v>
      </c>
      <c r="J77" s="20">
        <v>36</v>
      </c>
      <c r="K77" s="20" t="s">
        <v>148</v>
      </c>
      <c r="L77" s="23" t="s">
        <v>185</v>
      </c>
      <c r="M77" s="23">
        <f>4*4</f>
        <v>16</v>
      </c>
    </row>
    <row r="78" spans="1:13" ht="12.75">
      <c r="A78" s="4" t="s">
        <v>32</v>
      </c>
      <c r="F78" s="33">
        <f>SUM(F77)</f>
        <v>7005.099</v>
      </c>
      <c r="J78" s="20">
        <v>37</v>
      </c>
      <c r="K78" s="20" t="s">
        <v>186</v>
      </c>
      <c r="L78" s="23" t="s">
        <v>144</v>
      </c>
      <c r="M78" s="23">
        <f>2*22</f>
        <v>44</v>
      </c>
    </row>
    <row r="79" spans="1:13" ht="12.75">
      <c r="A79" s="60" t="s">
        <v>77</v>
      </c>
      <c r="B79" s="57"/>
      <c r="C79" s="57"/>
      <c r="D79" s="58">
        <v>2.05</v>
      </c>
      <c r="E79" s="57"/>
      <c r="F79" s="61">
        <f>E33*D79</f>
        <v>6439.665</v>
      </c>
      <c r="J79" s="20">
        <v>38</v>
      </c>
      <c r="K79" s="20" t="s">
        <v>187</v>
      </c>
      <c r="L79" s="23" t="s">
        <v>144</v>
      </c>
      <c r="M79" s="23">
        <f>2*14.5</f>
        <v>29</v>
      </c>
    </row>
    <row r="80" spans="1:13" ht="12.75">
      <c r="A80" s="1" t="s">
        <v>33</v>
      </c>
      <c r="B80" s="1"/>
      <c r="F80" s="33">
        <f>F52+F56+F68+F74+F78+F79</f>
        <v>47369.38922430171</v>
      </c>
      <c r="J80" s="20">
        <v>39</v>
      </c>
      <c r="K80" s="20" t="s">
        <v>188</v>
      </c>
      <c r="L80" s="23" t="s">
        <v>147</v>
      </c>
      <c r="M80" s="23">
        <v>40</v>
      </c>
    </row>
    <row r="81" spans="1:13" ht="12.75">
      <c r="A81" s="1" t="s">
        <v>75</v>
      </c>
      <c r="B81" s="37"/>
      <c r="C81" s="37">
        <v>0.058</v>
      </c>
      <c r="D81" s="1"/>
      <c r="E81" s="1"/>
      <c r="F81" s="33">
        <f>F80*5.8%</f>
        <v>2747.424575009499</v>
      </c>
      <c r="I81" s="7"/>
      <c r="J81" s="20">
        <v>40</v>
      </c>
      <c r="K81" s="20" t="s">
        <v>152</v>
      </c>
      <c r="L81" s="23" t="s">
        <v>144</v>
      </c>
      <c r="M81" s="23">
        <f>2*288.9</f>
        <v>577.8</v>
      </c>
    </row>
    <row r="82" spans="1:13" ht="12.75">
      <c r="A82" s="1"/>
      <c r="B82" s="37" t="s">
        <v>128</v>
      </c>
      <c r="C82" s="37"/>
      <c r="D82" s="1"/>
      <c r="E82" s="51"/>
      <c r="F82" s="52">
        <v>1913.6</v>
      </c>
      <c r="I82" s="7"/>
      <c r="J82" s="20">
        <v>41</v>
      </c>
      <c r="K82" s="20" t="s">
        <v>177</v>
      </c>
      <c r="L82" s="23" t="s">
        <v>185</v>
      </c>
      <c r="M82" s="23">
        <f>4*55</f>
        <v>220</v>
      </c>
    </row>
    <row r="83" spans="1:13" ht="12.75">
      <c r="A83" s="1"/>
      <c r="B83" s="37" t="s">
        <v>129</v>
      </c>
      <c r="C83" s="37"/>
      <c r="D83" s="1"/>
      <c r="E83" s="51"/>
      <c r="F83" s="52">
        <v>375.35</v>
      </c>
      <c r="I83" s="7"/>
      <c r="J83" s="20">
        <v>42</v>
      </c>
      <c r="K83" s="20" t="s">
        <v>189</v>
      </c>
      <c r="L83" s="23" t="s">
        <v>147</v>
      </c>
      <c r="M83" s="23">
        <v>752.4</v>
      </c>
    </row>
    <row r="84" spans="1:13" ht="12.75">
      <c r="A84" s="1"/>
      <c r="B84" s="37" t="s">
        <v>130</v>
      </c>
      <c r="C84" s="37"/>
      <c r="D84" s="1"/>
      <c r="E84" s="51"/>
      <c r="F84" s="52">
        <v>1687.69</v>
      </c>
      <c r="I84" s="7"/>
      <c r="J84" s="20">
        <v>43</v>
      </c>
      <c r="K84" s="20" t="s">
        <v>191</v>
      </c>
      <c r="L84" s="23" t="s">
        <v>192</v>
      </c>
      <c r="M84" s="23">
        <f>8*25.6</f>
        <v>204.8</v>
      </c>
    </row>
    <row r="85" spans="1:13" ht="13.5">
      <c r="A85" s="12" t="s">
        <v>35</v>
      </c>
      <c r="B85" s="12"/>
      <c r="C85" s="12"/>
      <c r="D85" s="12"/>
      <c r="E85" s="12"/>
      <c r="F85" s="43">
        <f>F80+F81+F82+F83+F84</f>
        <v>54093.45379931121</v>
      </c>
      <c r="J85" s="20">
        <v>44</v>
      </c>
      <c r="K85" s="20"/>
      <c r="L85" s="23"/>
      <c r="M85" s="23"/>
    </row>
    <row r="86" spans="2:13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134</v>
      </c>
      <c r="J86" s="20">
        <v>45</v>
      </c>
      <c r="K86" s="20"/>
      <c r="L86" s="23"/>
      <c r="M86" s="23"/>
    </row>
    <row r="87" spans="1:13" ht="12.75">
      <c r="A87" s="13"/>
      <c r="B87" s="40">
        <v>44166</v>
      </c>
      <c r="C87" s="41">
        <v>53344</v>
      </c>
      <c r="D87" s="44">
        <f>F44</f>
        <v>58237.284999999996</v>
      </c>
      <c r="E87" s="44">
        <f>F85</f>
        <v>54093.45379931121</v>
      </c>
      <c r="F87" s="45">
        <f>C87+D87-E87</f>
        <v>57487.83120068879</v>
      </c>
      <c r="J87" s="20">
        <v>46</v>
      </c>
      <c r="K87" s="20"/>
      <c r="L87" s="23"/>
      <c r="M87" s="23"/>
    </row>
    <row r="88" spans="10:13" ht="12.75">
      <c r="J88" s="20"/>
      <c r="K88" s="20"/>
      <c r="L88" s="34" t="s">
        <v>65</v>
      </c>
      <c r="M88" s="35">
        <f>SUM(M42:M87)</f>
        <v>9825.169999999998</v>
      </c>
    </row>
    <row r="89" spans="1:6" ht="13.5" thickBot="1">
      <c r="A89" t="s">
        <v>111</v>
      </c>
      <c r="C89" s="49">
        <v>43800</v>
      </c>
      <c r="D89" s="8" t="s">
        <v>112</v>
      </c>
      <c r="E89" s="49">
        <v>43830</v>
      </c>
      <c r="F89" t="s">
        <v>113</v>
      </c>
    </row>
    <row r="90" spans="1:7" ht="13.5" thickBot="1">
      <c r="A90" t="s">
        <v>114</v>
      </c>
      <c r="F90" s="50">
        <f>E87</f>
        <v>54093.45379931121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2017-08-21T12:45:57Z</cp:lastPrinted>
  <dcterms:created xsi:type="dcterms:W3CDTF">2008-08-18T07:30:19Z</dcterms:created>
  <dcterms:modified xsi:type="dcterms:W3CDTF">2020-02-19T09:02:39Z</dcterms:modified>
  <cp:category/>
  <cp:version/>
  <cp:contentType/>
  <cp:contentStatus/>
</cp:coreProperties>
</file>