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<sst xmlns="http://schemas.openxmlformats.org/spreadsheetml/2006/main" count="177" uniqueCount="155">
  <si>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</si>
  <si>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</si>
  <si>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</si>
  <si>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</si>
  <si>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</si>
  <si>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</si>
  <si>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</si>
  <si>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</si>
  <si>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</si>
  <si>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</si>
  <si>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</si>
  <si>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</si>
  <si>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</si>
  <si>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</si>
  <si>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</si>
  <si>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</si>
  <si>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</si>
  <si>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</si>
  <si>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</si>
  <si>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</si>
  <si>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</si>
  <si>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</si>
  <si>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</si>
  <si>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</si>
  <si>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</si>
  <si>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</si>
  <si>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</si>
  <si>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</si>
  <si>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</si>
  <si>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</si>
  <si>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</si>
  <si>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</si>
  <si>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</si>
  <si>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</si>
  <si>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</si>
  <si>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</si>
  <si>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</si>
  <si>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</si>
  <si>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</si>
  <si>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</si>
  <si>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</si>
  <si>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</si>
  <si>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</si>
  <si>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</si>
  <si>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</si>
  <si>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</si>
  <si>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</si>
  <si>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</si>
  <si>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</si>
  <si>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</si>
  <si>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</si>
  <si>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</si>
  <si>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</si>
  <si>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</si>
  <si>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</si>
  <si>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</si>
  <si>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</si>
  <si>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</si>
  <si>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</si>
  <si>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 А</t>
  </si>
  <si>
    <t>3. Расходы на лифтремонт</t>
  </si>
  <si>
    <t>4. Текущий ремонт</t>
  </si>
  <si>
    <t>5. Общепроизводственные расходы</t>
  </si>
  <si>
    <t>6. Общехозяйственные расходы</t>
  </si>
  <si>
    <t xml:space="preserve">  ИТОГО по 3 разделу</t>
  </si>
  <si>
    <t xml:space="preserve">     ИТОГО по 4 разделу</t>
  </si>
  <si>
    <t>ИТОГО по 5 разделу</t>
  </si>
  <si>
    <t xml:space="preserve">ИТОГО по 6 разделу </t>
  </si>
  <si>
    <t>4 лифта</t>
  </si>
  <si>
    <t xml:space="preserve">остаток </t>
  </si>
  <si>
    <t>на</t>
  </si>
  <si>
    <t>поступило</t>
  </si>
  <si>
    <t>израсх.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</si>
  <si>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</si>
  <si>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</si>
  <si>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</si>
  <si>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</si>
  <si>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 xml:space="preserve"> м2</t>
  </si>
  <si>
    <t>(з/пл. мастеров,диспетчеров с ЕСН, услуги сбербанка)</t>
  </si>
  <si>
    <t xml:space="preserve">Горгаз: </t>
  </si>
  <si>
    <t>Плановые накопления</t>
  </si>
  <si>
    <t>Кровли</t>
  </si>
  <si>
    <r>
      <t xml:space="preserve">7.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</si>
  <si>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</si>
  <si>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</si>
  <si>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</si>
  <si>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</si>
  <si>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</si>
  <si>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</si>
  <si>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</si>
  <si>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</si>
  <si>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</si>
  <si>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</si>
  <si>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</si>
  <si>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</si>
  <si>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</si>
  <si>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</si>
  <si>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</si>
  <si>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</si>
  <si>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</si>
  <si>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</si>
  <si>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</si>
  <si>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</si>
  <si>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</si>
  <si>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</si>
  <si>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</si>
  <si>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</si>
  <si>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</si>
  <si>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</si>
  <si>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</si>
  <si>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</si>
  <si>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</si>
  <si>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</si>
  <si>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</si>
  <si>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</si>
  <si>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2 А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</si>
  <si>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</si>
  <si>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</si>
  <si>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</si>
  <si>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</si>
  <si>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</si>
  <si>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</si>
  <si>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</si>
  <si>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</si>
  <si>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</si>
  <si>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</si>
  <si>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</si>
  <si>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</si>
  <si>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</si>
  <si>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</si>
  <si>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</si>
  <si>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8"/>
        <rFont val="Arial Cyr"/>
        <family val="0"/>
      </rPr>
      <t>(Медиа-Маркет,спарк,ростелеком,интер-телеком, 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</si>
  <si>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</si>
  <si>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</si>
  <si>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</si>
  <si>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</si>
  <si>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 xml:space="preserve"> Страховка</t>
  </si>
  <si>
    <t>2019 г.</t>
  </si>
  <si>
    <t>декабря</t>
  </si>
  <si>
    <t>за   декабрь  2019 г.</t>
  </si>
  <si>
    <t>ост.на 01.01</t>
  </si>
  <si>
    <t>смена вентиля д 15 (1шт) п-д1 подвал</t>
  </si>
  <si>
    <t>вентиль д 15</t>
  </si>
  <si>
    <t>1шт</t>
  </si>
  <si>
    <t>4шт</t>
  </si>
  <si>
    <t>американка</t>
  </si>
  <si>
    <t>смена ламп (11 шт)</t>
  </si>
  <si>
    <t>лампа</t>
  </si>
  <si>
    <t>11шт</t>
  </si>
  <si>
    <t>смена светильника (10шт) п-д4</t>
  </si>
  <si>
    <t>светильник</t>
  </si>
  <si>
    <t>10шт</t>
  </si>
  <si>
    <t>смена эл. Провода (20мп) п-д4</t>
  </si>
  <si>
    <t>эл.провод</t>
  </si>
  <si>
    <t>20мп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</si>
</sst>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0000000"/>
    <numFmt numFmtId="181" formatCode="0.000000000"/>
    <numFmt numFmtId="182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82" fontId="1" fillId="0" borderId="0" xfId="0" applyNumberFormat="1" applyFont="1" applyAlignment="1">
      <alignment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1" fontId="1" fillId="0" borderId="2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2" borderId="0" xfId="0" applyFill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3" fillId="34" borderId="0" xfId="0" applyFont="1" applyFill="1" applyAlignment="1">
      <alignment/>
    </xf>
    <xf numFmtId="2" fontId="1" fillId="34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="90" zoomScaleNormal="90" zoomScalePageLayoutView="0" workbookViewId="0" topLeftCell="A16">
      <selection activeCell="M45" sqref="M45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00390625" style="0" bestFit="1" customWidth="1"/>
    <col min="6" max="6" width="11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2.375" style="0" customWidth="1"/>
  </cols>
  <sheetData>
    <row r="1" ht="12.75">
      <c r="K1" t="s">
        <v>59</v>
      </c>
    </row>
    <row r="2" spans="3:11" ht="12.75">
      <c r="C2" s="1" t="s">
        <v>89</v>
      </c>
      <c r="D2" s="8">
        <v>12</v>
      </c>
      <c r="K2" s="5" t="s">
        <v>139</v>
      </c>
    </row>
    <row r="3" spans="1:13" ht="12.75">
      <c r="A3" t="s">
        <v>90</v>
      </c>
      <c r="J3" s="14" t="s">
        <v>29</v>
      </c>
      <c r="K3" s="29" t="s">
        <v>54</v>
      </c>
      <c r="L3" s="22" t="s">
        <v>32</v>
      </c>
      <c r="M3" s="22" t="s">
        <v>35</v>
      </c>
    </row>
    <row r="4" spans="1:13" ht="12.75">
      <c r="A4" t="s">
        <v>91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5:13" ht="12.75">
      <c r="E5" s="8">
        <v>31</v>
      </c>
      <c r="F5" s="8" t="s">
        <v>138</v>
      </c>
      <c r="G5" s="8" t="s">
        <v>137</v>
      </c>
      <c r="J5" s="15"/>
      <c r="K5" s="15"/>
      <c r="L5" s="21" t="s">
        <v>34</v>
      </c>
      <c r="M5" s="21"/>
    </row>
    <row r="6" spans="1:13" ht="12.75">
      <c r="A6" t="s">
        <v>92</v>
      </c>
      <c r="J6" s="20">
        <v>1</v>
      </c>
      <c r="K6" s="20" t="s">
        <v>81</v>
      </c>
      <c r="L6" s="25">
        <v>0</v>
      </c>
      <c r="M6" s="52">
        <f>L6*126.87*1.302</f>
        <v>0</v>
      </c>
    </row>
    <row r="7" spans="2:13" ht="12.75">
      <c r="B7" t="s">
        <v>93</v>
      </c>
      <c r="C7" s="1" t="s">
        <v>94</v>
      </c>
      <c r="D7" s="8" t="s">
        <v>115</v>
      </c>
      <c r="J7" s="14">
        <v>2</v>
      </c>
      <c r="K7" s="14" t="s">
        <v>37</v>
      </c>
      <c r="L7" s="14"/>
      <c r="M7" s="52">
        <f aca="true" t="shared" si="0" ref="M7:M19">L7*126.87*1.302</f>
        <v>0</v>
      </c>
    </row>
    <row r="8" spans="10:13" ht="12.75">
      <c r="J8" s="15"/>
      <c r="K8" s="15" t="s">
        <v>38</v>
      </c>
      <c r="L8" s="21"/>
      <c r="M8" s="52">
        <f t="shared" si="0"/>
        <v>0</v>
      </c>
    </row>
    <row r="9" spans="1:13" ht="12.75">
      <c r="A9" t="s">
        <v>95</v>
      </c>
      <c r="J9" s="16"/>
      <c r="K9" s="16" t="s">
        <v>39</v>
      </c>
      <c r="L9" s="23">
        <v>0</v>
      </c>
      <c r="M9" s="52">
        <f t="shared" si="0"/>
        <v>0</v>
      </c>
    </row>
    <row r="10" spans="5:13" ht="12.75">
      <c r="E10" s="7" t="s">
        <v>96</v>
      </c>
      <c r="F10" s="7"/>
      <c r="G10" s="7"/>
      <c r="H10" s="7"/>
      <c r="J10" s="15">
        <v>3</v>
      </c>
      <c r="K10" s="24" t="s">
        <v>40</v>
      </c>
      <c r="L10" s="21"/>
      <c r="M10" s="52">
        <f t="shared" si="0"/>
        <v>0</v>
      </c>
    </row>
    <row r="11" spans="5:13" ht="12.75">
      <c r="E11" s="7" t="s">
        <v>97</v>
      </c>
      <c r="F11" s="7"/>
      <c r="G11" s="7"/>
      <c r="H11" s="7"/>
      <c r="J11" s="16"/>
      <c r="K11" s="18" t="s">
        <v>42</v>
      </c>
      <c r="L11" s="23">
        <v>10.55</v>
      </c>
      <c r="M11" s="52">
        <f t="shared" si="0"/>
        <v>1742.6990070000004</v>
      </c>
    </row>
    <row r="12" spans="5:13" ht="12.75">
      <c r="E12" s="7" t="s">
        <v>98</v>
      </c>
      <c r="F12" s="7"/>
      <c r="G12" s="7"/>
      <c r="H12" s="7"/>
      <c r="J12" s="14">
        <v>4</v>
      </c>
      <c r="K12" s="17" t="s">
        <v>41</v>
      </c>
      <c r="L12" s="22"/>
      <c r="M12" s="52">
        <f t="shared" si="0"/>
        <v>0</v>
      </c>
    </row>
    <row r="13" spans="5:13" ht="12.75">
      <c r="E13" s="7" t="s">
        <v>99</v>
      </c>
      <c r="F13" s="7"/>
      <c r="G13" s="7"/>
      <c r="H13" s="7"/>
      <c r="J13" s="16"/>
      <c r="K13" s="18" t="s">
        <v>84</v>
      </c>
      <c r="L13" s="23">
        <v>5.27</v>
      </c>
      <c r="M13" s="52">
        <f t="shared" si="0"/>
        <v>870.5235798</v>
      </c>
    </row>
    <row r="14" spans="1:13" ht="12.75">
      <c r="A14" t="s">
        <v>100</v>
      </c>
      <c r="E14" s="7"/>
      <c r="F14" s="7"/>
      <c r="G14" s="7"/>
      <c r="H14" s="7"/>
      <c r="J14" s="20">
        <v>5</v>
      </c>
      <c r="K14" s="19" t="s">
        <v>43</v>
      </c>
      <c r="L14" s="25">
        <v>0</v>
      </c>
      <c r="M14" s="52">
        <f t="shared" si="0"/>
        <v>0</v>
      </c>
    </row>
    <row r="15" spans="1:13" ht="12.75">
      <c r="A15" t="s">
        <v>101</v>
      </c>
      <c r="E15" s="7"/>
      <c r="F15" s="7"/>
      <c r="G15" s="7"/>
      <c r="H15" s="7"/>
      <c r="J15" s="14">
        <v>6</v>
      </c>
      <c r="K15" s="17" t="s">
        <v>44</v>
      </c>
      <c r="L15" s="22"/>
      <c r="M15" s="52">
        <f t="shared" si="0"/>
        <v>0</v>
      </c>
    </row>
    <row r="16" spans="5:13" ht="12.75">
      <c r="E16" s="7" t="s">
        <v>102</v>
      </c>
      <c r="F16" s="7"/>
      <c r="G16" s="7"/>
      <c r="H16" s="7"/>
      <c r="J16" s="15" t="s">
        <v>45</v>
      </c>
      <c r="K16" s="26" t="s">
        <v>46</v>
      </c>
      <c r="L16" s="21">
        <v>0</v>
      </c>
      <c r="M16" s="52">
        <f t="shared" si="0"/>
        <v>0</v>
      </c>
    </row>
    <row r="17" spans="5:13" ht="12.75">
      <c r="E17" s="7" t="s">
        <v>103</v>
      </c>
      <c r="F17" s="7"/>
      <c r="G17" s="7"/>
      <c r="H17" s="7"/>
      <c r="J17" s="15" t="s">
        <v>47</v>
      </c>
      <c r="K17" s="26" t="s">
        <v>86</v>
      </c>
      <c r="L17" s="21">
        <v>20</v>
      </c>
      <c r="M17" s="52">
        <f t="shared" si="0"/>
        <v>3303.6948</v>
      </c>
    </row>
    <row r="18" spans="5:13" ht="12.75">
      <c r="E18" s="7" t="s">
        <v>104</v>
      </c>
      <c r="F18" s="7"/>
      <c r="G18" s="7"/>
      <c r="H18" s="7"/>
      <c r="J18" s="15" t="s">
        <v>49</v>
      </c>
      <c r="K18" s="26" t="s">
        <v>48</v>
      </c>
      <c r="L18" s="21">
        <v>3.6</v>
      </c>
      <c r="M18" s="52">
        <f t="shared" si="0"/>
        <v>594.665064</v>
      </c>
    </row>
    <row r="19" spans="1:13" ht="12.75">
      <c r="A19" t="s">
        <v>105</v>
      </c>
      <c r="J19" s="16" t="s">
        <v>85</v>
      </c>
      <c r="K19" s="18" t="s">
        <v>50</v>
      </c>
      <c r="L19" s="21">
        <v>0.5</v>
      </c>
      <c r="M19" s="52">
        <f t="shared" si="0"/>
        <v>82.59237</v>
      </c>
    </row>
    <row r="20" spans="1:13" ht="12.75">
      <c r="A20" t="s">
        <v>106</v>
      </c>
      <c r="J20" s="20"/>
      <c r="K20" s="27" t="s">
        <v>51</v>
      </c>
      <c r="L20" s="28">
        <f>SUM(L6:L19)</f>
        <v>39.92</v>
      </c>
      <c r="M20" s="33">
        <f>SUM(M6:M19)</f>
        <v>6594.174820800001</v>
      </c>
    </row>
    <row r="21" spans="1:11" ht="12.75">
      <c r="A21" t="s">
        <v>132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3">
        <v>1</v>
      </c>
      <c r="K24" s="35" t="s">
        <v>141</v>
      </c>
      <c r="L24" s="25">
        <v>0.81</v>
      </c>
      <c r="M24" s="32">
        <f>L24*126.87*1.302*1.15</f>
        <v>153.86958531000002</v>
      </c>
    </row>
    <row r="25" spans="1:13" ht="12.75">
      <c r="A25" t="s">
        <v>110</v>
      </c>
      <c r="J25" s="23">
        <v>2</v>
      </c>
      <c r="K25" s="35" t="s">
        <v>146</v>
      </c>
      <c r="L25" s="52">
        <f>0.11*7.1</f>
        <v>0.7809999999999999</v>
      </c>
      <c r="M25" s="32">
        <f>L25*126.87*1.302*1.15</f>
        <v>148.360674231</v>
      </c>
    </row>
    <row r="26" spans="1:13" ht="12.75">
      <c r="A26" t="s">
        <v>111</v>
      </c>
      <c r="J26" s="23">
        <v>3</v>
      </c>
      <c r="K26" s="35" t="s">
        <v>149</v>
      </c>
      <c r="L26" s="58">
        <f>0.1*7.1</f>
        <v>0.71</v>
      </c>
      <c r="M26" s="32">
        <f aca="true" t="shared" si="1" ref="M26:M35">L26*126.87*1.302*1.15</f>
        <v>134.87334020999998</v>
      </c>
    </row>
    <row r="27" spans="1:13" ht="12.75">
      <c r="A27" t="s">
        <v>112</v>
      </c>
      <c r="J27" s="23">
        <v>4</v>
      </c>
      <c r="K27" s="35" t="s">
        <v>152</v>
      </c>
      <c r="L27" s="25">
        <f>0.2*19</f>
        <v>3.8000000000000003</v>
      </c>
      <c r="M27" s="32">
        <f t="shared" si="1"/>
        <v>721.8573138</v>
      </c>
    </row>
    <row r="28" spans="1:13" ht="12.75">
      <c r="A28" s="56" t="s">
        <v>113</v>
      </c>
      <c r="B28" s="56"/>
      <c r="C28" s="56"/>
      <c r="D28" s="56"/>
      <c r="E28" s="56"/>
      <c r="F28" s="56"/>
      <c r="G28" s="56"/>
      <c r="J28" s="23">
        <v>5</v>
      </c>
      <c r="K28" s="35"/>
      <c r="L28" s="25"/>
      <c r="M28" s="32">
        <f t="shared" si="1"/>
        <v>0</v>
      </c>
    </row>
    <row r="29" spans="1:13" ht="12.75">
      <c r="A29" t="s">
        <v>114</v>
      </c>
      <c r="B29" s="1"/>
      <c r="C29" s="1"/>
      <c r="D29" s="1"/>
      <c r="J29" s="23">
        <v>6</v>
      </c>
      <c r="K29" s="35"/>
      <c r="L29" s="23"/>
      <c r="M29" s="32">
        <f t="shared" si="1"/>
        <v>0</v>
      </c>
    </row>
    <row r="30" spans="10:13" ht="12.75">
      <c r="J30" s="23">
        <v>7</v>
      </c>
      <c r="K30" s="35"/>
      <c r="L30" s="49"/>
      <c r="M30" s="32">
        <f t="shared" si="1"/>
        <v>0</v>
      </c>
    </row>
    <row r="31" spans="2:13" ht="12.75">
      <c r="B31" t="s">
        <v>0</v>
      </c>
      <c r="J31" s="23">
        <v>8</v>
      </c>
      <c r="K31" s="35"/>
      <c r="L31" s="25"/>
      <c r="M31" s="32">
        <f t="shared" si="1"/>
        <v>0</v>
      </c>
    </row>
    <row r="32" spans="10:13" ht="12.75">
      <c r="J32" s="23">
        <v>9</v>
      </c>
      <c r="K32" s="35"/>
      <c r="L32" s="25"/>
      <c r="M32" s="32">
        <f t="shared" si="1"/>
        <v>0</v>
      </c>
    </row>
    <row r="33" spans="1:13" ht="12.75">
      <c r="A33" t="s">
        <v>1</v>
      </c>
      <c r="E33">
        <v>9983.4</v>
      </c>
      <c r="F33" t="s">
        <v>76</v>
      </c>
      <c r="J33" s="23">
        <v>10</v>
      </c>
      <c r="K33" s="35"/>
      <c r="L33" s="25"/>
      <c r="M33" s="32">
        <f t="shared" si="1"/>
        <v>0</v>
      </c>
    </row>
    <row r="34" spans="1:13" ht="12.75">
      <c r="A34" t="s">
        <v>2</v>
      </c>
      <c r="E34">
        <v>1194.8</v>
      </c>
      <c r="F34" t="s">
        <v>76</v>
      </c>
      <c r="J34" s="23">
        <v>11</v>
      </c>
      <c r="K34" s="35"/>
      <c r="L34" s="25"/>
      <c r="M34" s="32">
        <f t="shared" si="1"/>
        <v>0</v>
      </c>
    </row>
    <row r="35" spans="1:13" ht="12.75">
      <c r="A35" t="s">
        <v>3</v>
      </c>
      <c r="J35" s="23">
        <v>12</v>
      </c>
      <c r="K35" s="35"/>
      <c r="L35" s="25"/>
      <c r="M35" s="32">
        <f t="shared" si="1"/>
        <v>0</v>
      </c>
    </row>
    <row r="36" spans="1:13" ht="12.75">
      <c r="A36" t="s">
        <v>4</v>
      </c>
      <c r="E36">
        <v>2571.2</v>
      </c>
      <c r="F36" t="s">
        <v>76</v>
      </c>
      <c r="J36" s="20"/>
      <c r="K36" s="30" t="s">
        <v>51</v>
      </c>
      <c r="L36" s="28">
        <f>SUM(L24:L35)</f>
        <v>6.101000000000001</v>
      </c>
      <c r="M36" s="33">
        <f>SUM(M24:M35)</f>
        <v>1158.960913551</v>
      </c>
    </row>
    <row r="37" ht="12.75">
      <c r="K37" s="1" t="s">
        <v>55</v>
      </c>
    </row>
    <row r="38" spans="2:13" ht="12.75">
      <c r="B38" s="1" t="s">
        <v>5</v>
      </c>
      <c r="C38" s="1"/>
      <c r="J38" s="22" t="s">
        <v>29</v>
      </c>
      <c r="K38" s="22"/>
      <c r="L38" s="22" t="s">
        <v>56</v>
      </c>
      <c r="M38" s="22" t="s">
        <v>35</v>
      </c>
    </row>
    <row r="39" spans="10:13" ht="12.75">
      <c r="J39" s="23" t="s">
        <v>30</v>
      </c>
      <c r="K39" s="23" t="s">
        <v>31</v>
      </c>
      <c r="L39" s="23"/>
      <c r="M39" s="23" t="s">
        <v>57</v>
      </c>
    </row>
    <row r="40" spans="1:13" ht="12.75">
      <c r="A40" s="2" t="s">
        <v>6</v>
      </c>
      <c r="F40" s="11">
        <v>205242.59</v>
      </c>
      <c r="J40" s="23">
        <v>1</v>
      </c>
      <c r="K40" s="35" t="s">
        <v>142</v>
      </c>
      <c r="L40" s="23" t="s">
        <v>143</v>
      </c>
      <c r="M40" s="23">
        <v>288.9</v>
      </c>
    </row>
    <row r="41" spans="1:13" ht="12.75">
      <c r="A41" t="s">
        <v>7</v>
      </c>
      <c r="F41" s="5">
        <v>204590.38</v>
      </c>
      <c r="J41" s="25">
        <v>2</v>
      </c>
      <c r="K41" s="35" t="s">
        <v>145</v>
      </c>
      <c r="L41" s="23" t="s">
        <v>144</v>
      </c>
      <c r="M41" s="23">
        <f>4*155</f>
        <v>620</v>
      </c>
    </row>
    <row r="42" spans="2:13" ht="12.75">
      <c r="B42" t="s">
        <v>8</v>
      </c>
      <c r="F42" s="9">
        <f>F41/F40</f>
        <v>0.9968222482477931</v>
      </c>
      <c r="J42" s="25">
        <v>3</v>
      </c>
      <c r="K42" s="35" t="s">
        <v>147</v>
      </c>
      <c r="L42" s="23" t="s">
        <v>148</v>
      </c>
      <c r="M42" s="23">
        <f>11*25.6</f>
        <v>281.6</v>
      </c>
    </row>
    <row r="43" spans="1:13" ht="12.75">
      <c r="A43" t="s">
        <v>131</v>
      </c>
      <c r="F43" s="5">
        <f>400+250+800+400+250</f>
        <v>2100</v>
      </c>
      <c r="J43" s="25">
        <v>4</v>
      </c>
      <c r="K43" s="35" t="s">
        <v>150</v>
      </c>
      <c r="L43" s="23" t="s">
        <v>151</v>
      </c>
      <c r="M43" s="23">
        <f>10*25.6</f>
        <v>256</v>
      </c>
    </row>
    <row r="44" spans="1:13" ht="12.75">
      <c r="A44" s="3" t="s">
        <v>9</v>
      </c>
      <c r="B44" s="3"/>
      <c r="C44" s="3"/>
      <c r="D44" s="3"/>
      <c r="E44" s="1"/>
      <c r="F44" s="34">
        <f>F41+F43</f>
        <v>206690.38</v>
      </c>
      <c r="J44" s="25">
        <v>5</v>
      </c>
      <c r="K44" s="39" t="s">
        <v>153</v>
      </c>
      <c r="L44" s="23" t="s">
        <v>154</v>
      </c>
      <c r="M44" s="23">
        <f>20*25.6</f>
        <v>512</v>
      </c>
    </row>
    <row r="45" spans="2:13" ht="12.75">
      <c r="B45" s="1" t="s">
        <v>10</v>
      </c>
      <c r="C45" s="1"/>
      <c r="J45" s="25">
        <v>6</v>
      </c>
      <c r="K45" s="39"/>
      <c r="L45" s="23"/>
      <c r="M45" s="23"/>
    </row>
    <row r="46" spans="10:13" ht="12.75">
      <c r="J46" s="25">
        <v>7</v>
      </c>
      <c r="K46" s="39"/>
      <c r="L46" s="23"/>
      <c r="M46" s="23"/>
    </row>
    <row r="47" spans="1:13" ht="12.75">
      <c r="A47" s="4" t="s">
        <v>11</v>
      </c>
      <c r="B47" s="4"/>
      <c r="C47" s="4"/>
      <c r="D47" s="4"/>
      <c r="E47" s="4"/>
      <c r="F47" s="4"/>
      <c r="J47" s="25">
        <v>8</v>
      </c>
      <c r="K47" s="39"/>
      <c r="L47" s="23"/>
      <c r="M47" s="23"/>
    </row>
    <row r="48" spans="1:13" ht="12.75">
      <c r="A48" t="s">
        <v>12</v>
      </c>
      <c r="F48" s="11">
        <f>7300*1.302</f>
        <v>9504.6</v>
      </c>
      <c r="J48" s="25">
        <v>9</v>
      </c>
      <c r="K48" s="39"/>
      <c r="L48" s="23"/>
      <c r="M48" s="23"/>
    </row>
    <row r="49" spans="1:13" ht="12.75">
      <c r="A49" s="6" t="s">
        <v>15</v>
      </c>
      <c r="F49" s="11">
        <f>(10000+1200)*1.302</f>
        <v>14582.4</v>
      </c>
      <c r="J49" s="25">
        <v>10</v>
      </c>
      <c r="K49" s="39"/>
      <c r="L49" s="23"/>
      <c r="M49" s="23"/>
    </row>
    <row r="50" spans="1:13" ht="12.75">
      <c r="A50" s="64" t="s">
        <v>87</v>
      </c>
      <c r="B50" s="65"/>
      <c r="C50" s="65"/>
      <c r="D50" s="65"/>
      <c r="E50" s="66">
        <v>0.43</v>
      </c>
      <c r="F50" s="67">
        <f>E33*E50</f>
        <v>4292.862</v>
      </c>
      <c r="J50" s="25">
        <v>11</v>
      </c>
      <c r="K50" s="39"/>
      <c r="L50" s="23"/>
      <c r="M50" s="23"/>
    </row>
    <row r="51" spans="1:13" ht="12.75">
      <c r="A51" s="10" t="s">
        <v>27</v>
      </c>
      <c r="D51" s="5"/>
      <c r="F51" s="34">
        <f>F48+F49+F50</f>
        <v>28379.862</v>
      </c>
      <c r="J51" s="25">
        <v>12</v>
      </c>
      <c r="K51" s="39"/>
      <c r="L51" s="23"/>
      <c r="M51" s="23"/>
    </row>
    <row r="52" spans="1:13" ht="12.75">
      <c r="A52" s="4" t="s">
        <v>16</v>
      </c>
      <c r="D52" s="5"/>
      <c r="J52" s="25">
        <v>13</v>
      </c>
      <c r="K52" s="39"/>
      <c r="L52" s="23"/>
      <c r="M52" s="23"/>
    </row>
    <row r="53" spans="1:13" ht="12.75">
      <c r="A53" t="s">
        <v>75</v>
      </c>
      <c r="C53" s="13"/>
      <c r="D53" s="48">
        <v>0</v>
      </c>
      <c r="E53" s="13" t="s">
        <v>14</v>
      </c>
      <c r="F53" s="11">
        <f>E33*D53</f>
        <v>0</v>
      </c>
      <c r="J53" s="25">
        <v>14</v>
      </c>
      <c r="K53" s="50"/>
      <c r="L53" s="51"/>
      <c r="M53" s="51"/>
    </row>
    <row r="54" spans="1:13" ht="12.75">
      <c r="A54" t="s">
        <v>83</v>
      </c>
      <c r="B54">
        <v>1194.8</v>
      </c>
      <c r="C54" t="s">
        <v>13</v>
      </c>
      <c r="D54" s="5">
        <v>0.1</v>
      </c>
      <c r="E54" t="s">
        <v>14</v>
      </c>
      <c r="F54" s="11">
        <f>B54*D54</f>
        <v>119.48</v>
      </c>
      <c r="J54" s="25">
        <v>17</v>
      </c>
      <c r="K54" s="39"/>
      <c r="L54" s="23"/>
      <c r="M54" s="23"/>
    </row>
    <row r="55" spans="1:13" ht="12.75">
      <c r="A55" s="10" t="s">
        <v>17</v>
      </c>
      <c r="B55" s="10"/>
      <c r="C55" s="10"/>
      <c r="F55" s="34">
        <f>SUM(F53:F54)</f>
        <v>119.48</v>
      </c>
      <c r="J55" s="20"/>
      <c r="K55" s="20"/>
      <c r="L55" s="31" t="s">
        <v>58</v>
      </c>
      <c r="M55" s="33">
        <f>SUM(M40:M54)</f>
        <v>1958.5</v>
      </c>
    </row>
    <row r="56" spans="1:10" ht="12.75">
      <c r="A56" s="4" t="s">
        <v>60</v>
      </c>
      <c r="J56" s="46"/>
    </row>
    <row r="57" spans="1:10" ht="12.75">
      <c r="A57" t="s">
        <v>68</v>
      </c>
      <c r="B57" s="10">
        <v>4</v>
      </c>
      <c r="D57" s="5">
        <v>6305</v>
      </c>
      <c r="F57" s="5">
        <f>B57*D57</f>
        <v>25220</v>
      </c>
      <c r="J57" s="46"/>
    </row>
    <row r="58" spans="1:10" ht="12.75">
      <c r="A58" s="61" t="s">
        <v>136</v>
      </c>
      <c r="B58" s="62"/>
      <c r="C58" s="61"/>
      <c r="D58" s="63"/>
      <c r="E58" s="61"/>
      <c r="F58" s="63">
        <v>0</v>
      </c>
      <c r="J58" s="46"/>
    </row>
    <row r="59" spans="1:10" ht="12.75">
      <c r="A59" s="10" t="s">
        <v>64</v>
      </c>
      <c r="F59" s="8">
        <f>SUM(F57+F58)</f>
        <v>25220</v>
      </c>
      <c r="J59" s="46"/>
    </row>
    <row r="60" spans="1:10" ht="12.75">
      <c r="A60" s="4" t="s">
        <v>61</v>
      </c>
      <c r="B60" s="4"/>
      <c r="F60" s="5"/>
      <c r="J60" s="46"/>
    </row>
    <row r="61" spans="1:10" ht="12.75">
      <c r="A61" t="s">
        <v>18</v>
      </c>
      <c r="C61" s="53">
        <v>240839</v>
      </c>
      <c r="D61">
        <v>229360</v>
      </c>
      <c r="E61">
        <v>9983.4</v>
      </c>
      <c r="F61" s="36">
        <f>C61/D61*E61</f>
        <v>10483.048799267526</v>
      </c>
      <c r="J61" s="46"/>
    </row>
    <row r="62" spans="1:10" ht="12.75">
      <c r="A62" t="s">
        <v>19</v>
      </c>
      <c r="F62" s="36">
        <f>M20</f>
        <v>6594.174820800001</v>
      </c>
      <c r="J62" s="46"/>
    </row>
    <row r="63" spans="1:6" ht="12.75">
      <c r="A63" t="s">
        <v>20</v>
      </c>
      <c r="F63" s="11">
        <f>M36</f>
        <v>1158.960913551</v>
      </c>
    </row>
    <row r="64" spans="1:6" ht="12.75">
      <c r="A64" t="s">
        <v>73</v>
      </c>
      <c r="F64" s="11">
        <v>0</v>
      </c>
    </row>
    <row r="65" spans="1:6" ht="12.75">
      <c r="A65" t="s">
        <v>21</v>
      </c>
      <c r="F65" s="11">
        <f>M55</f>
        <v>1958.5</v>
      </c>
    </row>
    <row r="66" spans="1:6" ht="12.75">
      <c r="A66" t="s">
        <v>22</v>
      </c>
      <c r="F66" s="5"/>
    </row>
    <row r="67" spans="1:6" ht="12.75">
      <c r="A67" s="53" t="s">
        <v>79</v>
      </c>
      <c r="B67" s="53"/>
      <c r="C67" s="53"/>
      <c r="D67" s="53"/>
      <c r="E67" s="53"/>
      <c r="F67" s="57">
        <v>0</v>
      </c>
    </row>
    <row r="68" spans="1:6" ht="12.75">
      <c r="A68" t="s">
        <v>23</v>
      </c>
      <c r="F68" s="5"/>
    </row>
    <row r="69" spans="2:6" ht="12.75">
      <c r="B69">
        <v>9983.4</v>
      </c>
      <c r="C69" t="s">
        <v>13</v>
      </c>
      <c r="D69" s="11">
        <v>0.22</v>
      </c>
      <c r="E69" t="s">
        <v>14</v>
      </c>
      <c r="F69" s="11">
        <f>B69*D69</f>
        <v>2196.348</v>
      </c>
    </row>
    <row r="70" spans="1:6" ht="12.75">
      <c r="A70" s="65" t="s">
        <v>88</v>
      </c>
      <c r="B70" s="65"/>
      <c r="C70" s="65"/>
      <c r="D70" s="67">
        <v>0.32</v>
      </c>
      <c r="E70" s="65"/>
      <c r="F70" s="67">
        <f>D70*E33</f>
        <v>3194.688</v>
      </c>
    </row>
    <row r="71" spans="1:6" ht="12.75">
      <c r="A71" s="10" t="s">
        <v>65</v>
      </c>
      <c r="B71" s="10"/>
      <c r="C71" s="10"/>
      <c r="F71" s="34">
        <f>SUM(F61:F70)</f>
        <v>25585.72053361853</v>
      </c>
    </row>
    <row r="72" ht="12.75">
      <c r="A72" s="4" t="s">
        <v>62</v>
      </c>
    </row>
    <row r="73" spans="1:6" ht="12.75">
      <c r="A73" t="s">
        <v>24</v>
      </c>
      <c r="B73">
        <v>9983.4</v>
      </c>
      <c r="C73" t="s">
        <v>77</v>
      </c>
      <c r="D73" s="5">
        <v>0.23</v>
      </c>
      <c r="E73" t="s">
        <v>14</v>
      </c>
      <c r="F73" s="11">
        <f>B73*D73</f>
        <v>2296.182</v>
      </c>
    </row>
    <row r="74" ht="12.75">
      <c r="A74" t="s">
        <v>25</v>
      </c>
    </row>
    <row r="75" ht="12.75">
      <c r="A75" s="7" t="s">
        <v>78</v>
      </c>
    </row>
    <row r="76" spans="2:6" ht="12.75">
      <c r="B76">
        <v>9983.4</v>
      </c>
      <c r="C76" t="s">
        <v>13</v>
      </c>
      <c r="D76" s="11">
        <v>0.91</v>
      </c>
      <c r="E76" t="s">
        <v>14</v>
      </c>
      <c r="F76" s="11">
        <f>B76*D76</f>
        <v>9084.894</v>
      </c>
    </row>
    <row r="77" spans="1:6" ht="12.75">
      <c r="A77" s="10" t="s">
        <v>66</v>
      </c>
      <c r="F77" s="34">
        <f>F73+F76</f>
        <v>11381.076000000001</v>
      </c>
    </row>
    <row r="78" ht="12.75">
      <c r="A78" s="4" t="s">
        <v>63</v>
      </c>
    </row>
    <row r="79" spans="1:6" ht="12.75">
      <c r="A79" s="7" t="s">
        <v>74</v>
      </c>
      <c r="B79" s="7"/>
      <c r="C79" s="7"/>
      <c r="D79" s="7"/>
      <c r="E79" s="7"/>
      <c r="F79" s="7"/>
    </row>
    <row r="80" spans="2:6" ht="12.75">
      <c r="B80">
        <v>9983.4</v>
      </c>
      <c r="C80" t="s">
        <v>13</v>
      </c>
      <c r="D80" s="11">
        <v>2.23</v>
      </c>
      <c r="E80" t="s">
        <v>14</v>
      </c>
      <c r="F80" s="11">
        <f>B80*D80</f>
        <v>22262.982</v>
      </c>
    </row>
    <row r="81" spans="1:9" ht="12.75">
      <c r="A81" s="4" t="s">
        <v>67</v>
      </c>
      <c r="B81" s="1"/>
      <c r="F81" s="34">
        <f>SUM(F80)</f>
        <v>22262.982</v>
      </c>
      <c r="I81" s="7"/>
    </row>
    <row r="82" spans="1:6" ht="12.75">
      <c r="A82" s="68" t="s">
        <v>82</v>
      </c>
      <c r="B82" s="65"/>
      <c r="C82" s="65"/>
      <c r="D82" s="66">
        <v>2.05</v>
      </c>
      <c r="E82" s="65"/>
      <c r="F82" s="69">
        <f>D82*E33</f>
        <v>20465.969999999998</v>
      </c>
    </row>
    <row r="83" spans="1:6" ht="12.75">
      <c r="A83" s="1" t="s">
        <v>26</v>
      </c>
      <c r="B83" s="1"/>
      <c r="F83" s="34">
        <f>F51+F55+F59+F71+F77+F81+F82</f>
        <v>133415.09053361852</v>
      </c>
    </row>
    <row r="84" spans="1:6" ht="12.75">
      <c r="A84" s="1" t="s">
        <v>80</v>
      </c>
      <c r="B84" s="38"/>
      <c r="C84" s="38">
        <v>0.058</v>
      </c>
      <c r="D84" s="1"/>
      <c r="E84" s="1"/>
      <c r="F84" s="34">
        <f>F83*5.8%</f>
        <v>7738.075250949874</v>
      </c>
    </row>
    <row r="85" spans="1:6" ht="12.75">
      <c r="A85" s="1"/>
      <c r="B85" s="38" t="s">
        <v>133</v>
      </c>
      <c r="C85" s="38"/>
      <c r="D85" s="1"/>
      <c r="E85" s="59"/>
      <c r="F85" s="60">
        <v>30751</v>
      </c>
    </row>
    <row r="86" spans="1:6" ht="12.75">
      <c r="A86" s="1"/>
      <c r="B86" s="38" t="s">
        <v>134</v>
      </c>
      <c r="C86" s="38"/>
      <c r="D86" s="1"/>
      <c r="E86" s="59"/>
      <c r="F86" s="60">
        <v>1634.64</v>
      </c>
    </row>
    <row r="87" spans="1:6" ht="12.75">
      <c r="A87" s="1"/>
      <c r="B87" s="38" t="s">
        <v>135</v>
      </c>
      <c r="C87" s="38"/>
      <c r="D87" s="1"/>
      <c r="E87" s="59"/>
      <c r="F87" s="60">
        <v>8548.06</v>
      </c>
    </row>
    <row r="88" spans="1:6" ht="13.5">
      <c r="A88" s="12" t="s">
        <v>28</v>
      </c>
      <c r="B88" s="12"/>
      <c r="C88" s="12"/>
      <c r="D88" s="12"/>
      <c r="E88" s="12"/>
      <c r="F88" s="37">
        <f>F83+F84+F85+F86+F87</f>
        <v>182086.86578456842</v>
      </c>
    </row>
    <row r="89" spans="2:6" ht="12.75">
      <c r="B89" s="40" t="s">
        <v>69</v>
      </c>
      <c r="C89" s="41" t="s">
        <v>70</v>
      </c>
      <c r="D89" s="22" t="s">
        <v>71</v>
      </c>
      <c r="E89" s="22" t="s">
        <v>72</v>
      </c>
      <c r="F89" s="44" t="s">
        <v>140</v>
      </c>
    </row>
    <row r="90" spans="1:6" ht="12.75">
      <c r="A90" s="13"/>
      <c r="B90" s="42">
        <v>44166</v>
      </c>
      <c r="C90" s="43">
        <v>900248</v>
      </c>
      <c r="D90" s="47">
        <f>F44</f>
        <v>206690.38</v>
      </c>
      <c r="E90" s="47">
        <f>F88</f>
        <v>182086.86578456842</v>
      </c>
      <c r="F90" s="45">
        <f>C90+D90-E90</f>
        <v>924851.5142154314</v>
      </c>
    </row>
    <row r="92" spans="1:6" ht="13.5" thickBot="1">
      <c r="A92" t="s">
        <v>116</v>
      </c>
      <c r="C92" s="55">
        <v>43800</v>
      </c>
      <c r="D92" s="8" t="s">
        <v>117</v>
      </c>
      <c r="E92" s="55">
        <v>43830</v>
      </c>
      <c r="F92" t="s">
        <v>118</v>
      </c>
    </row>
    <row r="93" spans="1:7" ht="13.5" thickBot="1">
      <c r="A93" t="s">
        <v>119</v>
      </c>
      <c r="F93" s="54">
        <f>E90</f>
        <v>182086.86578456842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7" ht="12.75">
      <c r="A107" t="s">
        <v>129</v>
      </c>
    </row>
    <row r="108" ht="12.75">
      <c r="H108" s="7"/>
    </row>
    <row r="110" ht="12.75">
      <c r="A110" t="s">
        <v>130</v>
      </c>
    </row>
    <row r="112" ht="12.75">
      <c r="G112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2017-08-21T12:39:10Z</cp:lastPrinted>
  <dcterms:created xsi:type="dcterms:W3CDTF">2008-08-18T07:30:19Z</dcterms:created>
  <dcterms:modified xsi:type="dcterms:W3CDTF">2020-02-19T10:20:37Z</dcterms:modified>
  <cp:category/>
  <cp:version/>
  <cp:contentType/>
  <cp:contentStatus/>
</cp:coreProperties>
</file>