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<sst xmlns="http://schemas.openxmlformats.org/spreadsheetml/2006/main" count="242" uniqueCount="185">
  <si>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</si>
  <si>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</si>
  <si>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</si>
  <si>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</si>
  <si>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</si>
  <si>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</si>
  <si>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</si>
  <si>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</si>
  <si>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</si>
  <si>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</si>
  <si>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</si>
  <si>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</si>
  <si>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</si>
  <si>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</si>
  <si>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</si>
  <si>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</si>
  <si>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</si>
  <si>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</si>
  <si>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</si>
  <si>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</si>
  <si>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</si>
  <si>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</si>
  <si>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</si>
  <si>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</si>
  <si>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</si>
  <si>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</si>
  <si>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</si>
  <si>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</si>
  <si>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</si>
  <si>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</si>
  <si>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</si>
  <si>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</si>
  <si>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</si>
  <si>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</si>
  <si>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</si>
  <si>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</si>
  <si>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</si>
  <si>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</si>
  <si>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</si>
  <si>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</si>
  <si>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</si>
  <si>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</si>
  <si>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</si>
  <si>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</si>
  <si>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</si>
  <si>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</si>
  <si>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</si>
  <si>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</si>
  <si>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</si>
  <si>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</si>
  <si>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</si>
  <si>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</si>
  <si>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</si>
  <si>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</si>
  <si>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</si>
  <si>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</si>
  <si>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</si>
  <si>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</si>
  <si>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</si>
  <si>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</si>
  <si>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</si>
  <si>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</si>
  <si>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</si>
  <si>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</si>
  <si>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</si>
  <si>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</si>
  <si>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д.23</t>
  </si>
  <si>
    <t>остаток</t>
  </si>
  <si>
    <t>на</t>
  </si>
  <si>
    <t>поступило</t>
  </si>
  <si>
    <t>израсх.</t>
  </si>
  <si>
    <t>м2</t>
  </si>
  <si>
    <t>(з/пл. мастеров, диспетчеров,ЕСН, услуги сбербанка)</t>
  </si>
  <si>
    <t xml:space="preserve"> 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</si>
  <si>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</si>
  <si>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</si>
  <si>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</si>
  <si>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</si>
  <si>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</si>
  <si>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</si>
  <si>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</si>
  <si>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</si>
  <si>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</si>
  <si>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</si>
  <si>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</si>
  <si>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</si>
  <si>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</si>
  <si>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</si>
  <si>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</si>
  <si>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</si>
  <si>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</si>
  <si>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</si>
  <si>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</si>
  <si>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</si>
  <si>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</si>
  <si>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</si>
  <si>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</si>
  <si>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</si>
  <si>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</si>
  <si>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</si>
  <si>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</si>
  <si>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</si>
  <si>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</si>
  <si>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</si>
  <si>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</si>
  <si>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</si>
  <si>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</si>
  <si>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</si>
  <si>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</si>
  <si>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</si>
  <si>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</si>
  <si>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</si>
  <si>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</si>
  <si>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</si>
  <si>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</si>
  <si>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</si>
  <si>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</si>
  <si>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</si>
  <si>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</si>
  <si>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</si>
  <si>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</si>
  <si>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</si>
  <si>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</si>
  <si>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</si>
  <si>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</si>
  <si>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r>
      <t>1.2 Аренда</t>
    </r>
    <r>
      <rPr>
        <sz val="8"/>
        <rFont val="Arial Cyr"/>
        <family val="0"/>
      </rPr>
      <t xml:space="preserve"> 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</si>
  <si>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</si>
  <si>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</si>
  <si>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</si>
  <si>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2019 г.</t>
  </si>
  <si>
    <t>ВДГО (техобслуживание и ремонт)</t>
  </si>
  <si>
    <t>Плановые накопления</t>
  </si>
  <si>
    <t>декабря</t>
  </si>
  <si>
    <t>за   декабрь  2019 г.</t>
  </si>
  <si>
    <t>ост.на 01.01</t>
  </si>
  <si>
    <t>смена труб д 110 пвх (12мп) кв. 60-63</t>
  </si>
  <si>
    <t>труба д 110 пвх 2-х мп</t>
  </si>
  <si>
    <t>5шт</t>
  </si>
  <si>
    <t>труба д 110 пвх 1-х мп</t>
  </si>
  <si>
    <t>2шт</t>
  </si>
  <si>
    <t>8шт</t>
  </si>
  <si>
    <t>крестовина 110</t>
  </si>
  <si>
    <t>трапер 110</t>
  </si>
  <si>
    <t>1шт</t>
  </si>
  <si>
    <t>ревизка 110</t>
  </si>
  <si>
    <t>тройник 110</t>
  </si>
  <si>
    <t>муфта копенс.110</t>
  </si>
  <si>
    <t>манжета 110</t>
  </si>
  <si>
    <t>круг отр.</t>
  </si>
  <si>
    <t>смена труб д 50 пвх (8мп) кв. 60</t>
  </si>
  <si>
    <t xml:space="preserve">установка хомута </t>
  </si>
  <si>
    <t>труба д 50 пвх</t>
  </si>
  <si>
    <t>8мп</t>
  </si>
  <si>
    <t>тройник 50 косой</t>
  </si>
  <si>
    <t>3шт</t>
  </si>
  <si>
    <t>уголок 50</t>
  </si>
  <si>
    <t>хомут 110</t>
  </si>
  <si>
    <t>смена вентиля д 25 (2шт) т.п. п-д3</t>
  </si>
  <si>
    <t>смена сгона д 20 (3шт) т.п. п-д3</t>
  </si>
  <si>
    <t>установка заглушки (2шт) т.п. п-д3</t>
  </si>
  <si>
    <t>смена гебо (1шт) т.п. п-д3</t>
  </si>
  <si>
    <t>вентиль д 25</t>
  </si>
  <si>
    <t>тройник 25</t>
  </si>
  <si>
    <t>уголок 25</t>
  </si>
  <si>
    <t>сгон 20</t>
  </si>
  <si>
    <t>к/гайка 20</t>
  </si>
  <si>
    <t>муфта 20</t>
  </si>
  <si>
    <t>пробка рад.</t>
  </si>
  <si>
    <t>бочонок 20</t>
  </si>
  <si>
    <t>тройник 20</t>
  </si>
  <si>
    <t>заглушка</t>
  </si>
  <si>
    <t>гебо</t>
  </si>
  <si>
    <t>4шт</t>
  </si>
  <si>
    <t>американка 25</t>
  </si>
  <si>
    <t>смена труб д 25 п.пр. (4мп) п-д3</t>
  </si>
  <si>
    <t>смена сгона д 20 (4шт) п-д3</t>
  </si>
  <si>
    <t>смена вентиля д 20 (2шт) т.п. п-д3</t>
  </si>
  <si>
    <t>трубад 25</t>
  </si>
  <si>
    <t>4мп</t>
  </si>
  <si>
    <t>6шт</t>
  </si>
  <si>
    <t>вентиль д 20</t>
  </si>
  <si>
    <t>пробка радиаторная</t>
  </si>
  <si>
    <t>смена ламп (11 шт) п-д2,3,4</t>
  </si>
  <si>
    <t>лампа</t>
  </si>
  <si>
    <t>11шт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</si>
</sst>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3" fillId="34" borderId="0" xfId="0" applyFont="1" applyFill="1" applyAlignment="1">
      <alignment/>
    </xf>
    <xf numFmtId="2" fontId="1" fillId="34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52">
      <selection activeCell="M85" sqref="M85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875" style="0" customWidth="1"/>
    <col min="12" max="12" width="11.5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84</v>
      </c>
      <c r="D2" s="8">
        <v>12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129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2:13" ht="12.75">
      <c r="B7" t="s">
        <v>88</v>
      </c>
      <c r="C7" s="1" t="s">
        <v>89</v>
      </c>
      <c r="D7" s="8">
        <v>23</v>
      </c>
      <c r="J7" s="14">
        <v>2</v>
      </c>
      <c r="K7" s="14" t="s">
        <v>44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3.83</v>
      </c>
      <c r="M11" s="45">
        <f t="shared" si="0"/>
        <v>632.6575542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3.83</v>
      </c>
      <c r="M13" s="45">
        <f t="shared" si="0"/>
        <v>632.6575542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5">
        <f t="shared" si="0"/>
        <v>371.665665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5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10.41</v>
      </c>
      <c r="M20" s="34">
        <f>SUM(M6:M19)</f>
        <v>1719.5731434000002</v>
      </c>
    </row>
    <row r="21" spans="1:11" ht="12.75">
      <c r="A21" t="s">
        <v>124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5">
        <f>0.12*146.9</f>
        <v>17.628</v>
      </c>
      <c r="M24" s="33">
        <f>L24*126.87*1.302*1.15</f>
        <v>3348.658086228</v>
      </c>
    </row>
    <row r="25" spans="1:13" ht="12.75">
      <c r="A25" t="s">
        <v>105</v>
      </c>
      <c r="J25" s="20">
        <v>2</v>
      </c>
      <c r="K25" s="20" t="s">
        <v>149</v>
      </c>
      <c r="L25" s="52">
        <f>0.08*133.04</f>
        <v>10.6432</v>
      </c>
      <c r="M25" s="33">
        <f aca="true" t="shared" si="1" ref="M25:M43">L25*126.87*1.302*1.15</f>
        <v>2021.8083584831998</v>
      </c>
    </row>
    <row r="26" spans="1:13" ht="12.75">
      <c r="A26" s="47" t="s">
        <v>106</v>
      </c>
      <c r="B26" s="47"/>
      <c r="C26" s="47"/>
      <c r="D26" s="47"/>
      <c r="E26" s="47"/>
      <c r="F26" s="47"/>
      <c r="G26" s="47"/>
      <c r="H26" s="47"/>
      <c r="J26" s="20">
        <v>3</v>
      </c>
      <c r="K26" s="20" t="s">
        <v>150</v>
      </c>
      <c r="L26" s="56">
        <v>2</v>
      </c>
      <c r="M26" s="33">
        <f t="shared" si="1"/>
        <v>379.924902</v>
      </c>
    </row>
    <row r="27" spans="1:13" ht="12.75">
      <c r="A27" t="s">
        <v>107</v>
      </c>
      <c r="B27" s="1"/>
      <c r="C27" s="1"/>
      <c r="D27" s="1"/>
      <c r="J27" s="20">
        <v>4</v>
      </c>
      <c r="K27" s="20" t="s">
        <v>157</v>
      </c>
      <c r="L27" s="25">
        <f>0.02*103</f>
        <v>2.06</v>
      </c>
      <c r="M27" s="33">
        <f t="shared" si="1"/>
        <v>391.32264906000006</v>
      </c>
    </row>
    <row r="28" spans="1:13" ht="12.75">
      <c r="A28" t="s">
        <v>108</v>
      </c>
      <c r="B28" s="1"/>
      <c r="C28" s="8"/>
      <c r="D28" s="8"/>
      <c r="J28" s="20">
        <v>5</v>
      </c>
      <c r="K28" s="20" t="s">
        <v>158</v>
      </c>
      <c r="L28" s="25">
        <f>0.03*81</f>
        <v>2.4299999999999997</v>
      </c>
      <c r="M28" s="33">
        <f t="shared" si="1"/>
        <v>461.6087559299999</v>
      </c>
    </row>
    <row r="29" spans="1:13" ht="12.75">
      <c r="A29" t="s">
        <v>109</v>
      </c>
      <c r="J29" s="20">
        <v>6</v>
      </c>
      <c r="K29" s="20" t="s">
        <v>159</v>
      </c>
      <c r="L29" s="45">
        <f>2*1.12</f>
        <v>2.24</v>
      </c>
      <c r="M29" s="33">
        <f t="shared" si="1"/>
        <v>425.51589024000003</v>
      </c>
    </row>
    <row r="30" spans="10:13" ht="12.75">
      <c r="J30" s="20">
        <v>7</v>
      </c>
      <c r="K30" s="20" t="s">
        <v>160</v>
      </c>
      <c r="L30" s="45">
        <v>1.03</v>
      </c>
      <c r="M30" s="33">
        <f t="shared" si="1"/>
        <v>195.66132453000003</v>
      </c>
    </row>
    <row r="31" spans="2:13" ht="12.75">
      <c r="B31" t="s">
        <v>0</v>
      </c>
      <c r="J31" s="20">
        <v>8</v>
      </c>
      <c r="K31" s="20" t="s">
        <v>174</v>
      </c>
      <c r="L31" s="25">
        <f>0.04*184.3</f>
        <v>7.372000000000001</v>
      </c>
      <c r="M31" s="33">
        <f t="shared" si="1"/>
        <v>1400.4031887720002</v>
      </c>
    </row>
    <row r="32" spans="10:13" ht="12.75">
      <c r="J32" s="20">
        <v>9</v>
      </c>
      <c r="K32" s="20" t="s">
        <v>175</v>
      </c>
      <c r="L32" s="25">
        <f>0.04*28.7</f>
        <v>1.148</v>
      </c>
      <c r="M32" s="33">
        <f t="shared" si="1"/>
        <v>218.076893748</v>
      </c>
    </row>
    <row r="33" spans="1:13" ht="12.75">
      <c r="A33" t="s">
        <v>1</v>
      </c>
      <c r="E33">
        <v>3471.1</v>
      </c>
      <c r="F33" t="s">
        <v>71</v>
      </c>
      <c r="J33" s="20">
        <v>10</v>
      </c>
      <c r="K33" s="20" t="s">
        <v>159</v>
      </c>
      <c r="L33" s="25">
        <f>2*1.12</f>
        <v>2.24</v>
      </c>
      <c r="M33" s="33">
        <f t="shared" si="1"/>
        <v>425.51589024000003</v>
      </c>
    </row>
    <row r="34" spans="1:13" ht="12.75">
      <c r="A34" t="s">
        <v>2</v>
      </c>
      <c r="E34">
        <v>957.4</v>
      </c>
      <c r="J34" s="20">
        <v>11</v>
      </c>
      <c r="K34" s="20" t="s">
        <v>176</v>
      </c>
      <c r="L34" s="25">
        <v>1.62</v>
      </c>
      <c r="M34" s="33">
        <f t="shared" si="1"/>
        <v>307.73917062000004</v>
      </c>
    </row>
    <row r="35" spans="1:13" ht="12.75">
      <c r="A35" t="s">
        <v>3</v>
      </c>
      <c r="J35" s="20">
        <v>12</v>
      </c>
      <c r="K35" s="20" t="s">
        <v>182</v>
      </c>
      <c r="L35" s="25">
        <f>0.11*7.1</f>
        <v>0.7809999999999999</v>
      </c>
      <c r="M35" s="33">
        <f t="shared" si="1"/>
        <v>148.360674231</v>
      </c>
    </row>
    <row r="36" spans="1:13" ht="12.75">
      <c r="A36" t="s">
        <v>4</v>
      </c>
      <c r="E36">
        <v>317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>
        <v>16</v>
      </c>
      <c r="K39" s="20"/>
      <c r="L39" s="25"/>
      <c r="M39" s="33">
        <f t="shared" si="1"/>
        <v>0</v>
      </c>
    </row>
    <row r="40" spans="1:13" ht="12.75">
      <c r="A40" s="2" t="s">
        <v>6</v>
      </c>
      <c r="F40" s="11">
        <v>53312.5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</v>
      </c>
      <c r="F41" s="11">
        <v>53077.99</v>
      </c>
      <c r="J41" s="20">
        <v>18</v>
      </c>
      <c r="K41" s="20"/>
      <c r="L41" s="25"/>
      <c r="M41" s="33">
        <f t="shared" si="1"/>
        <v>0</v>
      </c>
    </row>
    <row r="42" spans="2:13" ht="12.75">
      <c r="B42" t="s">
        <v>8</v>
      </c>
      <c r="F42" s="9">
        <f>F41/F40</f>
        <v>0.9956012192262602</v>
      </c>
      <c r="J42" s="20">
        <v>19</v>
      </c>
      <c r="K42" s="20"/>
      <c r="L42" s="25"/>
      <c r="M42" s="33">
        <f t="shared" si="1"/>
        <v>0</v>
      </c>
    </row>
    <row r="43" spans="1:13" ht="12.75">
      <c r="A43" t="s">
        <v>125</v>
      </c>
      <c r="F43" s="5">
        <f>250+400+250</f>
        <v>900</v>
      </c>
      <c r="J43" s="20">
        <v>20</v>
      </c>
      <c r="K43" s="20"/>
      <c r="L43" s="25"/>
      <c r="M43" s="33">
        <f t="shared" si="1"/>
        <v>0</v>
      </c>
    </row>
    <row r="44" spans="1:13" ht="12.75">
      <c r="A44" s="50"/>
      <c r="B44" s="50"/>
      <c r="C44" s="50"/>
      <c r="D44" s="50"/>
      <c r="E44" s="50"/>
      <c r="F44" s="51">
        <v>0</v>
      </c>
      <c r="J44" s="20"/>
      <c r="K44" s="30" t="s">
        <v>58</v>
      </c>
      <c r="L44" s="28">
        <f>SUM(L24:L43)</f>
        <v>51.19220000000001</v>
      </c>
      <c r="M44" s="34">
        <f>SUM(M24:M43)</f>
        <v>9724.5957840822</v>
      </c>
    </row>
    <row r="45" spans="1:11" ht="12.75">
      <c r="A45" s="3" t="s">
        <v>9</v>
      </c>
      <c r="B45" s="3"/>
      <c r="C45" s="3"/>
      <c r="D45" s="3"/>
      <c r="E45" s="1"/>
      <c r="F45" s="8">
        <f>F41+F43+F44</f>
        <v>53977.99</v>
      </c>
      <c r="K45" s="1" t="s">
        <v>62</v>
      </c>
    </row>
    <row r="46" spans="6:13" ht="12.75">
      <c r="F46" t="s">
        <v>73</v>
      </c>
      <c r="J46" s="22" t="s">
        <v>36</v>
      </c>
      <c r="K46" s="22"/>
      <c r="L46" s="22" t="s">
        <v>63</v>
      </c>
      <c r="M46" s="22" t="s">
        <v>42</v>
      </c>
    </row>
    <row r="47" spans="2:13" ht="12.75">
      <c r="B47" s="1" t="s">
        <v>10</v>
      </c>
      <c r="C47" s="1"/>
      <c r="J47" s="23" t="s">
        <v>37</v>
      </c>
      <c r="K47" s="23" t="s">
        <v>38</v>
      </c>
      <c r="L47" s="23"/>
      <c r="M47" s="23" t="s">
        <v>64</v>
      </c>
    </row>
    <row r="48" spans="10:13" ht="12.75">
      <c r="J48" s="20">
        <v>1</v>
      </c>
      <c r="K48" s="20" t="s">
        <v>136</v>
      </c>
      <c r="L48" s="25" t="s">
        <v>137</v>
      </c>
      <c r="M48" s="45">
        <f>5*316</f>
        <v>1580</v>
      </c>
    </row>
    <row r="49" spans="1:13" ht="12.75">
      <c r="A49" s="4" t="s">
        <v>11</v>
      </c>
      <c r="B49" s="4"/>
      <c r="C49" s="4"/>
      <c r="D49" s="4"/>
      <c r="E49" s="4"/>
      <c r="F49" s="4"/>
      <c r="J49" s="20">
        <v>2</v>
      </c>
      <c r="K49" s="20" t="s">
        <v>138</v>
      </c>
      <c r="L49" s="25" t="s">
        <v>139</v>
      </c>
      <c r="M49" s="25">
        <f>2*212</f>
        <v>424</v>
      </c>
    </row>
    <row r="50" spans="1:13" ht="12.75">
      <c r="A50" t="s">
        <v>12</v>
      </c>
      <c r="F50" s="11">
        <f>5850*1.302</f>
        <v>7616.7</v>
      </c>
      <c r="J50" s="20">
        <v>3</v>
      </c>
      <c r="K50" s="20" t="s">
        <v>141</v>
      </c>
      <c r="L50" s="25" t="s">
        <v>139</v>
      </c>
      <c r="M50" s="45">
        <f>2*201.33</f>
        <v>402.66</v>
      </c>
    </row>
    <row r="51" spans="1:13" ht="12.75">
      <c r="A51" s="6" t="s">
        <v>15</v>
      </c>
      <c r="F51" s="11">
        <f>2500*1.302</f>
        <v>3255</v>
      </c>
      <c r="J51" s="20">
        <v>4</v>
      </c>
      <c r="K51" s="20" t="s">
        <v>142</v>
      </c>
      <c r="L51" s="25" t="s">
        <v>143</v>
      </c>
      <c r="M51" s="25">
        <f>1*117.8</f>
        <v>117.8</v>
      </c>
    </row>
    <row r="52" spans="1:13" ht="12.75">
      <c r="A52" s="58" t="s">
        <v>82</v>
      </c>
      <c r="B52" s="59"/>
      <c r="C52" s="59"/>
      <c r="D52" s="59"/>
      <c r="E52" s="60">
        <v>0.43</v>
      </c>
      <c r="F52" s="61">
        <f>E52*E33</f>
        <v>1492.5729999999999</v>
      </c>
      <c r="J52" s="20">
        <v>5</v>
      </c>
      <c r="K52" s="20" t="s">
        <v>144</v>
      </c>
      <c r="L52" s="25" t="s">
        <v>143</v>
      </c>
      <c r="M52" s="25">
        <v>98</v>
      </c>
    </row>
    <row r="53" spans="1:13" ht="12.75">
      <c r="A53" s="4" t="s">
        <v>34</v>
      </c>
      <c r="F53" s="32">
        <f>F50+F51+F52</f>
        <v>12364.273000000001</v>
      </c>
      <c r="J53" s="20">
        <v>6</v>
      </c>
      <c r="K53" s="20" t="s">
        <v>145</v>
      </c>
      <c r="L53" s="25" t="s">
        <v>143</v>
      </c>
      <c r="M53" s="25">
        <v>40</v>
      </c>
    </row>
    <row r="54" spans="1:13" ht="12.75">
      <c r="A54" s="4" t="s">
        <v>16</v>
      </c>
      <c r="J54" s="20">
        <v>7</v>
      </c>
      <c r="K54" s="20" t="s">
        <v>146</v>
      </c>
      <c r="L54" s="25" t="s">
        <v>143</v>
      </c>
      <c r="M54" s="25">
        <v>70.08</v>
      </c>
    </row>
    <row r="55" spans="1:13" ht="12.75">
      <c r="A55" t="s">
        <v>75</v>
      </c>
      <c r="D55" s="5">
        <v>0</v>
      </c>
      <c r="E55" t="s">
        <v>14</v>
      </c>
      <c r="F55" s="11">
        <f>E33*D55</f>
        <v>0</v>
      </c>
      <c r="J55" s="20">
        <v>8</v>
      </c>
      <c r="K55" s="20" t="s">
        <v>147</v>
      </c>
      <c r="L55" s="25" t="s">
        <v>143</v>
      </c>
      <c r="M55" s="25">
        <v>43</v>
      </c>
    </row>
    <row r="56" spans="1:13" ht="12.75">
      <c r="A56" t="s">
        <v>78</v>
      </c>
      <c r="B56">
        <v>957.4</v>
      </c>
      <c r="C56" t="s">
        <v>13</v>
      </c>
      <c r="D56" s="11">
        <v>0.1</v>
      </c>
      <c r="E56" t="s">
        <v>14</v>
      </c>
      <c r="F56" s="11">
        <f>B56*D56</f>
        <v>95.74000000000001</v>
      </c>
      <c r="J56" s="20">
        <v>9</v>
      </c>
      <c r="K56" s="20" t="s">
        <v>148</v>
      </c>
      <c r="L56" s="25" t="s">
        <v>140</v>
      </c>
      <c r="M56" s="25">
        <f>8*23.31</f>
        <v>186.48</v>
      </c>
    </row>
    <row r="57" spans="1:13" ht="12.75">
      <c r="A57" s="4" t="s">
        <v>17</v>
      </c>
      <c r="B57" s="10"/>
      <c r="C57" s="10"/>
      <c r="F57" s="32">
        <f>SUM(F55:F56)</f>
        <v>95.74000000000001</v>
      </c>
      <c r="J57" s="20">
        <v>11</v>
      </c>
      <c r="K57" s="20" t="s">
        <v>151</v>
      </c>
      <c r="L57" s="25" t="s">
        <v>152</v>
      </c>
      <c r="M57" s="25">
        <f>8*114</f>
        <v>912</v>
      </c>
    </row>
    <row r="58" spans="1:13" ht="12.75">
      <c r="A58" s="4" t="s">
        <v>18</v>
      </c>
      <c r="B58" s="4"/>
      <c r="J58" s="20">
        <v>12</v>
      </c>
      <c r="K58" s="20" t="s">
        <v>153</v>
      </c>
      <c r="L58" s="25" t="s">
        <v>154</v>
      </c>
      <c r="M58" s="25">
        <v>120</v>
      </c>
    </row>
    <row r="59" spans="1:13" ht="12.75">
      <c r="A59" t="s">
        <v>19</v>
      </c>
      <c r="C59" s="46">
        <v>240839</v>
      </c>
      <c r="D59">
        <v>229360</v>
      </c>
      <c r="E59">
        <v>3471.1</v>
      </c>
      <c r="F59" s="35">
        <f>C59/D59*E59</f>
        <v>3644.8214723578653</v>
      </c>
      <c r="J59" s="20">
        <v>13</v>
      </c>
      <c r="K59" s="20" t="s">
        <v>155</v>
      </c>
      <c r="L59" s="25" t="s">
        <v>137</v>
      </c>
      <c r="M59" s="25">
        <f>5*42</f>
        <v>210</v>
      </c>
    </row>
    <row r="60" spans="1:13" ht="12.75">
      <c r="A60" t="s">
        <v>20</v>
      </c>
      <c r="F60" s="35">
        <f>M20</f>
        <v>1719.5731434000002</v>
      </c>
      <c r="J60" s="20">
        <v>14</v>
      </c>
      <c r="K60" s="20" t="s">
        <v>156</v>
      </c>
      <c r="L60" s="25" t="s">
        <v>139</v>
      </c>
      <c r="M60" s="25">
        <f>2*920</f>
        <v>1840</v>
      </c>
    </row>
    <row r="61" spans="1:13" ht="12.75">
      <c r="A61" t="s">
        <v>21</v>
      </c>
      <c r="F61" s="11">
        <f>M44</f>
        <v>9724.5957840822</v>
      </c>
      <c r="J61" s="20">
        <v>15</v>
      </c>
      <c r="K61" s="20" t="s">
        <v>161</v>
      </c>
      <c r="L61" s="25" t="s">
        <v>139</v>
      </c>
      <c r="M61" s="25">
        <f>2*459.07</f>
        <v>918.14</v>
      </c>
    </row>
    <row r="62" spans="1:13" ht="12.75">
      <c r="A62" t="s">
        <v>74</v>
      </c>
      <c r="F62" s="5">
        <f>4*600*1.302</f>
        <v>3124.8</v>
      </c>
      <c r="J62" s="20">
        <v>16</v>
      </c>
      <c r="K62" s="20" t="s">
        <v>162</v>
      </c>
      <c r="L62" s="25" t="s">
        <v>139</v>
      </c>
      <c r="M62" s="25">
        <f>2*15.46</f>
        <v>30.92</v>
      </c>
    </row>
    <row r="63" spans="1:13" ht="12.75">
      <c r="A63" t="s">
        <v>22</v>
      </c>
      <c r="F63" s="5">
        <f>M87</f>
        <v>11438.7</v>
      </c>
      <c r="J63" s="20">
        <v>17</v>
      </c>
      <c r="K63" s="20" t="s">
        <v>163</v>
      </c>
      <c r="L63" s="25" t="s">
        <v>154</v>
      </c>
      <c r="M63" s="25">
        <f>3*25.69</f>
        <v>77.07000000000001</v>
      </c>
    </row>
    <row r="64" spans="1:13" ht="12.75">
      <c r="A64" t="s">
        <v>23</v>
      </c>
      <c r="F64" s="5"/>
      <c r="J64" s="20">
        <v>18</v>
      </c>
      <c r="K64" s="20" t="s">
        <v>164</v>
      </c>
      <c r="L64" s="25" t="s">
        <v>154</v>
      </c>
      <c r="M64" s="25">
        <f>3*44.53</f>
        <v>133.59</v>
      </c>
    </row>
    <row r="65" spans="1:13" ht="12.75">
      <c r="A65" t="s">
        <v>24</v>
      </c>
      <c r="F65" s="5"/>
      <c r="J65" s="20">
        <v>19</v>
      </c>
      <c r="K65" s="20" t="s">
        <v>165</v>
      </c>
      <c r="L65" s="25" t="s">
        <v>154</v>
      </c>
      <c r="M65" s="25">
        <f>3*14.18</f>
        <v>42.54</v>
      </c>
    </row>
    <row r="66" spans="2:13" ht="12.75">
      <c r="B66">
        <v>3471.1</v>
      </c>
      <c r="C66" t="s">
        <v>13</v>
      </c>
      <c r="D66" s="11">
        <v>0.22</v>
      </c>
      <c r="E66" t="s">
        <v>14</v>
      </c>
      <c r="F66" s="11">
        <f>B66*D66</f>
        <v>763.6419999999999</v>
      </c>
      <c r="J66" s="20">
        <v>20</v>
      </c>
      <c r="K66" s="20" t="s">
        <v>166</v>
      </c>
      <c r="L66" s="25" t="s">
        <v>154</v>
      </c>
      <c r="M66" s="25">
        <f>3*26</f>
        <v>78</v>
      </c>
    </row>
    <row r="67" spans="1:15" s="53" customFormat="1" ht="12.75">
      <c r="A67" s="53" t="s">
        <v>130</v>
      </c>
      <c r="D67" s="57"/>
      <c r="F67" s="57">
        <v>0</v>
      </c>
      <c r="J67" s="20">
        <v>21</v>
      </c>
      <c r="K67" s="20" t="s">
        <v>167</v>
      </c>
      <c r="L67" s="25" t="s">
        <v>139</v>
      </c>
      <c r="M67" s="25">
        <f>2*63.17</f>
        <v>126.34</v>
      </c>
      <c r="N67"/>
      <c r="O67"/>
    </row>
    <row r="68" spans="1:13" ht="12.75">
      <c r="A68" s="59" t="s">
        <v>83</v>
      </c>
      <c r="B68" s="59"/>
      <c r="C68" s="59"/>
      <c r="D68" s="61">
        <v>0.32</v>
      </c>
      <c r="E68" s="59"/>
      <c r="F68" s="61">
        <f>D68*E33</f>
        <v>1110.752</v>
      </c>
      <c r="J68" s="20">
        <v>22</v>
      </c>
      <c r="K68" s="20" t="s">
        <v>168</v>
      </c>
      <c r="L68" s="25" t="s">
        <v>139</v>
      </c>
      <c r="M68" s="25">
        <f>2*22.7</f>
        <v>45.4</v>
      </c>
    </row>
    <row r="69" spans="1:13" ht="12.75">
      <c r="A69" s="4" t="s">
        <v>25</v>
      </c>
      <c r="B69" s="10"/>
      <c r="C69" s="10"/>
      <c r="F69" s="32">
        <f>SUM(F59:F68)</f>
        <v>31526.884399840066</v>
      </c>
      <c r="J69" s="20">
        <v>23</v>
      </c>
      <c r="K69" s="20" t="s">
        <v>169</v>
      </c>
      <c r="L69" s="25" t="s">
        <v>143</v>
      </c>
      <c r="M69" s="25">
        <v>140</v>
      </c>
    </row>
    <row r="70" spans="1:13" ht="12.75">
      <c r="A70" s="4" t="s">
        <v>26</v>
      </c>
      <c r="J70" s="20">
        <v>24</v>
      </c>
      <c r="K70" s="20" t="s">
        <v>170</v>
      </c>
      <c r="L70" s="25" t="s">
        <v>139</v>
      </c>
      <c r="M70" s="25">
        <f>2*54.1</f>
        <v>108.2</v>
      </c>
    </row>
    <row r="71" spans="1:13" ht="12.75">
      <c r="A71" t="s">
        <v>27</v>
      </c>
      <c r="B71">
        <v>3471.1</v>
      </c>
      <c r="C71" t="s">
        <v>71</v>
      </c>
      <c r="D71" s="5">
        <v>0.23</v>
      </c>
      <c r="E71" t="s">
        <v>14</v>
      </c>
      <c r="F71" s="11">
        <f>B71*D71</f>
        <v>798.3530000000001</v>
      </c>
      <c r="J71" s="20">
        <v>25</v>
      </c>
      <c r="K71" s="20" t="s">
        <v>171</v>
      </c>
      <c r="L71" s="25" t="s">
        <v>143</v>
      </c>
      <c r="M71" s="25">
        <v>563.77</v>
      </c>
    </row>
    <row r="72" spans="1:13" ht="12.75">
      <c r="A72" t="s">
        <v>28</v>
      </c>
      <c r="F72" s="5"/>
      <c r="J72" s="20">
        <v>26</v>
      </c>
      <c r="K72" s="20" t="s">
        <v>148</v>
      </c>
      <c r="L72" s="25" t="s">
        <v>172</v>
      </c>
      <c r="M72" s="25">
        <f>4*23.31</f>
        <v>93.24</v>
      </c>
    </row>
    <row r="73" spans="1:13" ht="12.75">
      <c r="A73" s="7" t="s">
        <v>72</v>
      </c>
      <c r="F73" s="5"/>
      <c r="J73" s="20">
        <v>27</v>
      </c>
      <c r="K73" s="20" t="s">
        <v>173</v>
      </c>
      <c r="L73" s="25" t="s">
        <v>154</v>
      </c>
      <c r="M73" s="25">
        <f>3*138.75</f>
        <v>416.25</v>
      </c>
    </row>
    <row r="74" spans="2:13" ht="12.75">
      <c r="B74">
        <v>3471.1</v>
      </c>
      <c r="C74" t="s">
        <v>13</v>
      </c>
      <c r="D74" s="11">
        <v>0.91</v>
      </c>
      <c r="E74" t="s">
        <v>14</v>
      </c>
      <c r="F74" s="11">
        <f>B74*D74</f>
        <v>3158.701</v>
      </c>
      <c r="J74" s="20">
        <v>28</v>
      </c>
      <c r="K74" s="20" t="s">
        <v>168</v>
      </c>
      <c r="L74" s="25" t="s">
        <v>172</v>
      </c>
      <c r="M74" s="25">
        <f>4*14.5</f>
        <v>58</v>
      </c>
    </row>
    <row r="75" spans="1:13" ht="12.75">
      <c r="A75" s="4" t="s">
        <v>29</v>
      </c>
      <c r="F75" s="32">
        <f>F71+F74</f>
        <v>3957.054</v>
      </c>
      <c r="J75" s="20">
        <v>29</v>
      </c>
      <c r="K75" s="20" t="s">
        <v>173</v>
      </c>
      <c r="L75" s="25" t="s">
        <v>172</v>
      </c>
      <c r="M75" s="25">
        <f>4*138.75</f>
        <v>555</v>
      </c>
    </row>
    <row r="76" spans="1:13" ht="12.75">
      <c r="A76" s="4" t="s">
        <v>30</v>
      </c>
      <c r="J76" s="20">
        <v>30</v>
      </c>
      <c r="K76" s="20" t="s">
        <v>177</v>
      </c>
      <c r="L76" s="25" t="s">
        <v>178</v>
      </c>
      <c r="M76" s="25">
        <f>4*100.29</f>
        <v>401.16</v>
      </c>
    </row>
    <row r="77" spans="1:13" ht="12.75">
      <c r="A77" s="7" t="s">
        <v>31</v>
      </c>
      <c r="B77" s="7"/>
      <c r="C77" s="7"/>
      <c r="D77" s="7"/>
      <c r="E77" s="7"/>
      <c r="F77" s="7"/>
      <c r="J77" s="20">
        <v>31</v>
      </c>
      <c r="K77" s="20" t="s">
        <v>163</v>
      </c>
      <c r="L77" s="25" t="s">
        <v>179</v>
      </c>
      <c r="M77" s="25">
        <f>6*13</f>
        <v>78</v>
      </c>
    </row>
    <row r="78" spans="2:13" ht="12.75">
      <c r="B78">
        <v>3471.1</v>
      </c>
      <c r="C78" t="s">
        <v>13</v>
      </c>
      <c r="D78" s="11">
        <v>2.23</v>
      </c>
      <c r="E78" t="s">
        <v>14</v>
      </c>
      <c r="F78" s="11">
        <f>B78*D78</f>
        <v>7740.553</v>
      </c>
      <c r="J78" s="20">
        <v>32</v>
      </c>
      <c r="K78" s="20" t="s">
        <v>164</v>
      </c>
      <c r="L78" s="25" t="s">
        <v>172</v>
      </c>
      <c r="M78" s="25">
        <f>4*32</f>
        <v>128</v>
      </c>
    </row>
    <row r="79" spans="1:13" ht="12.75">
      <c r="A79" s="4" t="s">
        <v>32</v>
      </c>
      <c r="F79" s="32">
        <f>SUM(F78)</f>
        <v>7740.553</v>
      </c>
      <c r="J79" s="20">
        <v>33</v>
      </c>
      <c r="K79" s="20" t="s">
        <v>166</v>
      </c>
      <c r="L79" s="25" t="s">
        <v>139</v>
      </c>
      <c r="M79" s="25">
        <f>2*54</f>
        <v>108</v>
      </c>
    </row>
    <row r="80" spans="1:13" ht="12.75">
      <c r="A80" s="62" t="s">
        <v>77</v>
      </c>
      <c r="B80" s="59"/>
      <c r="C80" s="59"/>
      <c r="D80" s="60">
        <v>2.05</v>
      </c>
      <c r="E80" s="59"/>
      <c r="F80" s="63">
        <f>D80*E33</f>
        <v>7115.754999999999</v>
      </c>
      <c r="J80" s="20">
        <v>34</v>
      </c>
      <c r="K80" s="20" t="s">
        <v>170</v>
      </c>
      <c r="L80" s="25" t="s">
        <v>139</v>
      </c>
      <c r="M80" s="25">
        <f>2*54.1</f>
        <v>108.2</v>
      </c>
    </row>
    <row r="81" spans="1:13" ht="12.75">
      <c r="A81" s="1" t="s">
        <v>33</v>
      </c>
      <c r="B81" s="1"/>
      <c r="F81" s="32">
        <f>F53+F57+F69+F75+F79+F80</f>
        <v>62800.25939984006</v>
      </c>
      <c r="I81" s="7"/>
      <c r="J81" s="20">
        <v>35</v>
      </c>
      <c r="K81" s="20" t="s">
        <v>165</v>
      </c>
      <c r="L81" s="25" t="s">
        <v>139</v>
      </c>
      <c r="M81" s="25">
        <f>2*14.18</f>
        <v>28.36</v>
      </c>
    </row>
    <row r="82" spans="1:13" ht="12.75">
      <c r="A82" s="1" t="s">
        <v>131</v>
      </c>
      <c r="B82" s="36"/>
      <c r="C82" s="36">
        <v>0.058</v>
      </c>
      <c r="D82" s="1"/>
      <c r="E82" s="1"/>
      <c r="F82" s="32">
        <f>F81*5.8%</f>
        <v>3642.4150451907235</v>
      </c>
      <c r="J82" s="20">
        <v>36</v>
      </c>
      <c r="K82" s="20" t="s">
        <v>180</v>
      </c>
      <c r="L82" s="25" t="s">
        <v>139</v>
      </c>
      <c r="M82" s="25">
        <f>2*374.28</f>
        <v>748.56</v>
      </c>
    </row>
    <row r="83" spans="1:13" ht="12.75">
      <c r="A83" s="1"/>
      <c r="B83" s="36" t="s">
        <v>126</v>
      </c>
      <c r="C83" s="36"/>
      <c r="D83" s="1"/>
      <c r="E83" s="54"/>
      <c r="F83" s="55">
        <v>2714</v>
      </c>
      <c r="J83" s="20">
        <v>37</v>
      </c>
      <c r="K83" s="20" t="s">
        <v>181</v>
      </c>
      <c r="L83" s="25" t="s">
        <v>139</v>
      </c>
      <c r="M83" s="25">
        <f>2*63.17</f>
        <v>126.34</v>
      </c>
    </row>
    <row r="84" spans="1:13" ht="12.75">
      <c r="A84" s="1"/>
      <c r="B84" s="36" t="s">
        <v>127</v>
      </c>
      <c r="C84" s="36"/>
      <c r="D84" s="1"/>
      <c r="E84" s="54"/>
      <c r="F84" s="55">
        <v>532.18</v>
      </c>
      <c r="J84" s="20">
        <v>38</v>
      </c>
      <c r="K84" s="20" t="s">
        <v>183</v>
      </c>
      <c r="L84" s="25" t="s">
        <v>184</v>
      </c>
      <c r="M84" s="25">
        <f>11*25.6</f>
        <v>281.6</v>
      </c>
    </row>
    <row r="85" spans="1:13" ht="12.75">
      <c r="A85" s="1"/>
      <c r="B85" s="36" t="s">
        <v>128</v>
      </c>
      <c r="C85" s="36"/>
      <c r="D85" s="1"/>
      <c r="E85" s="54"/>
      <c r="F85" s="55">
        <v>2389.07</v>
      </c>
      <c r="J85" s="20">
        <v>39</v>
      </c>
      <c r="K85" s="20"/>
      <c r="L85" s="25"/>
      <c r="M85" s="25"/>
    </row>
    <row r="86" spans="1:13" ht="13.5">
      <c r="A86" s="12" t="s">
        <v>35</v>
      </c>
      <c r="B86" s="12"/>
      <c r="C86" s="12"/>
      <c r="D86" s="12"/>
      <c r="E86" s="12"/>
      <c r="F86" s="42">
        <f>F81+F82+F83+F84+F85</f>
        <v>72077.92444503079</v>
      </c>
      <c r="J86" s="20">
        <v>40</v>
      </c>
      <c r="K86" s="20"/>
      <c r="L86" s="25"/>
      <c r="M86" s="25"/>
    </row>
    <row r="87" spans="2:13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134</v>
      </c>
      <c r="J87" s="20"/>
      <c r="K87" s="20"/>
      <c r="L87" s="31" t="s">
        <v>65</v>
      </c>
      <c r="M87" s="28">
        <f>SUM(M48:M86)</f>
        <v>11438.7</v>
      </c>
    </row>
    <row r="88" spans="1:6" ht="12.75">
      <c r="A88" s="13"/>
      <c r="B88" s="39">
        <v>44166</v>
      </c>
      <c r="C88" s="40">
        <v>-289788</v>
      </c>
      <c r="D88" s="43">
        <f>F45</f>
        <v>53977.99</v>
      </c>
      <c r="E88" s="43">
        <f>F86</f>
        <v>72077.92444503079</v>
      </c>
      <c r="F88" s="44">
        <f>C88+D88-E88</f>
        <v>-307887.9344450308</v>
      </c>
    </row>
    <row r="90" spans="1:6" ht="13.5" thickBot="1">
      <c r="A90" t="s">
        <v>110</v>
      </c>
      <c r="C90" s="48">
        <v>43800</v>
      </c>
      <c r="D90" s="8" t="s">
        <v>111</v>
      </c>
      <c r="E90" s="48">
        <v>43830</v>
      </c>
      <c r="F90" t="s">
        <v>112</v>
      </c>
    </row>
    <row r="91" spans="1:7" ht="13.5" thickBot="1">
      <c r="A91" t="s">
        <v>113</v>
      </c>
      <c r="F91" s="49">
        <f>E88</f>
        <v>72077.92444503079</v>
      </c>
      <c r="G91" t="s">
        <v>14</v>
      </c>
    </row>
    <row r="92" ht="12.75">
      <c r="A92" t="s">
        <v>114</v>
      </c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9" spans="7:8" ht="12.75">
      <c r="G109" s="7"/>
      <c r="H109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2019-11-28T07:59:34Z</cp:lastPrinted>
  <dcterms:created xsi:type="dcterms:W3CDTF">2008-08-18T07:30:19Z</dcterms:created>
  <dcterms:modified xsi:type="dcterms:W3CDTF">2020-02-19T08:55:24Z</dcterms:modified>
  <cp:category/>
  <cp:version/>
  <cp:contentType/>
  <cp:contentStatus/>
</cp:coreProperties>
</file>