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<sst xmlns="http://schemas.openxmlformats.org/spreadsheetml/2006/main" count="238" uniqueCount="195">
  <si>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</si>
  <si>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</si>
  <si>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</si>
  <si>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</si>
  <si>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</si>
  <si>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</si>
  <si>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</si>
  <si>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</si>
  <si>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</si>
  <si>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</si>
  <si>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</si>
  <si>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</si>
  <si>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</si>
  <si>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</si>
  <si>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</si>
  <si>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</si>
  <si>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</si>
  <si>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</si>
  <si>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</si>
  <si>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</si>
  <si>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</si>
  <si>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</si>
  <si>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</si>
  <si>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</si>
  <si>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</si>
  <si>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</si>
  <si>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</si>
  <si>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</si>
  <si>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</si>
  <si>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</si>
  <si>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</si>
  <si>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</si>
  <si>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</si>
  <si>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</si>
  <si>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</si>
  <si>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</si>
  <si>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</si>
  <si>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</si>
  <si>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</si>
  <si>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</si>
  <si>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</si>
  <si>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</si>
  <si>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</si>
  <si>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</si>
  <si>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</si>
  <si>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</si>
  <si>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</si>
  <si>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</si>
  <si>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</si>
  <si>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</si>
  <si>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</si>
  <si>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</si>
  <si>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</si>
  <si>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</si>
  <si>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</si>
  <si>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</si>
  <si>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</si>
  <si>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</si>
  <si>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</si>
  <si>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</si>
  <si>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</si>
  <si>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</si>
  <si>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</si>
  <si>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</si>
  <si>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</si>
  <si>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</si>
  <si>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</si>
  <si>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</si>
  <si>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</si>
  <si>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</si>
  <si>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</si>
  <si>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</si>
  <si>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</si>
  <si>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</si>
  <si>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</si>
  <si>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</si>
  <si>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</si>
  <si>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</si>
  <si>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</si>
  <si>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</si>
  <si>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</si>
  <si>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</si>
  <si>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</si>
  <si>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</si>
  <si>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</si>
  <si>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</si>
  <si>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</si>
  <si>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</si>
  <si>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</si>
  <si>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</si>
  <si>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</si>
  <si>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</si>
  <si>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</si>
  <si>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</si>
  <si>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</si>
  <si>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</si>
  <si>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</si>
  <si>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</si>
  <si>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</si>
  <si>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</si>
  <si>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</si>
  <si>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</si>
  <si>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</si>
  <si>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</si>
  <si>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</si>
  <si>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</si>
  <si>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</si>
  <si>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</si>
  <si>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</si>
  <si>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</si>
  <si>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</si>
  <si>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</si>
  <si>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</si>
  <si>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</si>
  <si>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</si>
  <si>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</si>
  <si>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</si>
  <si>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</si>
  <si>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</si>
  <si>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</si>
  <si>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</si>
  <si>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</si>
  <si>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</si>
  <si>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</si>
  <si>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</si>
  <si>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</si>
  <si>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</si>
  <si>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</si>
  <si>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</si>
  <si>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</si>
  <si>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</si>
  <si>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</si>
  <si>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</si>
  <si>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</si>
  <si>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</si>
  <si>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</si>
  <si>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труб д 32 на п.пр. (4мп) кв.61</t>
  </si>
  <si>
    <t>труба д 32 п.пр.</t>
  </si>
  <si>
    <t>4мп</t>
  </si>
  <si>
    <t>переход 32/25</t>
  </si>
  <si>
    <t>1шт</t>
  </si>
  <si>
    <t>гебо 25</t>
  </si>
  <si>
    <t>муфта  раз.32</t>
  </si>
  <si>
    <t>муфта п. 32</t>
  </si>
  <si>
    <t>2шт</t>
  </si>
  <si>
    <t>уголок 32</t>
  </si>
  <si>
    <t>смена вентиля д 25 (1шт)</t>
  </si>
  <si>
    <t xml:space="preserve">прочистка канализации </t>
  </si>
  <si>
    <t>смена труб д 32 (8мп) т.п.под кв.48</t>
  </si>
  <si>
    <t>8мп</t>
  </si>
  <si>
    <t>муфта раз.32</t>
  </si>
  <si>
    <t>муфта нер.32</t>
  </si>
  <si>
    <t>смена задвижки д 80 (1шт) т.п.</t>
  </si>
  <si>
    <t>установка фланцев д 80 (2шт) т.п.</t>
  </si>
  <si>
    <t>смена вентиля д 25 (4шт) т.п.</t>
  </si>
  <si>
    <t>смена сгона д 25 (4шт) т.п.</t>
  </si>
  <si>
    <t>задвижка д 80</t>
  </si>
  <si>
    <t>фланец 80</t>
  </si>
  <si>
    <t>вентиль д 25</t>
  </si>
  <si>
    <t>4шт</t>
  </si>
  <si>
    <t>сгон д 25</t>
  </si>
  <si>
    <t>болты, гайки</t>
  </si>
  <si>
    <t>16шт</t>
  </si>
  <si>
    <t>бочонок 25</t>
  </si>
  <si>
    <t>смена труб м/пл (3мп) п-д3</t>
  </si>
  <si>
    <t>труба м/пл</t>
  </si>
  <si>
    <t>3мп</t>
  </si>
  <si>
    <t>бочонок 15</t>
  </si>
  <si>
    <t>6шт</t>
  </si>
  <si>
    <t>уголок 15</t>
  </si>
  <si>
    <t>тройник 15</t>
  </si>
  <si>
    <t>смена труб д 89 (6мп) т.п.</t>
  </si>
  <si>
    <t>смена труб д 40 на п.пр. (4мп)</t>
  </si>
  <si>
    <t>труба д 89</t>
  </si>
  <si>
    <t>6мп</t>
  </si>
  <si>
    <t>труба д 40</t>
  </si>
  <si>
    <t>муфта 40</t>
  </si>
  <si>
    <t>ремонт подъезда №3</t>
  </si>
  <si>
    <t>материал для ремонта подъезда №3</t>
  </si>
  <si>
    <t>ремонт оконных переплетов</t>
  </si>
  <si>
    <t>жидкий клей</t>
  </si>
  <si>
    <t>3шт</t>
  </si>
  <si>
    <t>уголок оконный</t>
  </si>
  <si>
    <t>10шт</t>
  </si>
  <si>
    <t>смена светильника (7шт0</t>
  </si>
  <si>
    <t>светильник</t>
  </si>
  <si>
    <t>7шт</t>
  </si>
  <si>
    <t>саморезы</t>
  </si>
  <si>
    <t>100шт</t>
  </si>
  <si>
    <t>короб</t>
  </si>
  <si>
    <t>смена патрона (1шт)</t>
  </si>
  <si>
    <t>патрон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</si>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</sst>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M76" sqref="M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568.8165702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568.8165702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343.119915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10.21</v>
      </c>
      <c r="M20" s="33">
        <f>SUM(M6:M19)</f>
        <v>1557.0019254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f>0.04*156.46</f>
        <v>6.258400000000001</v>
      </c>
      <c r="M24" s="32">
        <f>L24*126.87*1.202*1.15</f>
        <v>1097.5506344184</v>
      </c>
    </row>
    <row r="25" spans="1:13" ht="12.75">
      <c r="A25" t="s">
        <v>107</v>
      </c>
      <c r="J25" s="20">
        <v>2</v>
      </c>
      <c r="K25" s="20" t="s">
        <v>146</v>
      </c>
      <c r="L25" s="48">
        <v>1.03</v>
      </c>
      <c r="M25" s="32">
        <f aca="true" t="shared" si="1" ref="M25:M39">L25*126.87*1.202*1.15</f>
        <v>180.63357303</v>
      </c>
    </row>
    <row r="26" spans="1:13" ht="12.75">
      <c r="A26" t="s">
        <v>108</v>
      </c>
      <c r="J26" s="20">
        <v>3</v>
      </c>
      <c r="K26" s="20" t="s">
        <v>147</v>
      </c>
      <c r="L26" s="48">
        <v>4.83</v>
      </c>
      <c r="M26" s="32">
        <f t="shared" si="1"/>
        <v>847.0486968299999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148</v>
      </c>
      <c r="L27" s="42">
        <f>0.08*156.46</f>
        <v>12.516800000000002</v>
      </c>
      <c r="M27" s="32">
        <f t="shared" si="1"/>
        <v>2195.1012688368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152</v>
      </c>
      <c r="L28" s="42">
        <v>4.22</v>
      </c>
      <c r="M28" s="32">
        <f t="shared" si="1"/>
        <v>740.07153222</v>
      </c>
    </row>
    <row r="29" spans="10:13" ht="12.75">
      <c r="J29" s="20">
        <v>6</v>
      </c>
      <c r="K29" s="20" t="s">
        <v>153</v>
      </c>
      <c r="L29" s="25">
        <f>2*1.46</f>
        <v>2.92</v>
      </c>
      <c r="M29" s="32">
        <f t="shared" si="1"/>
        <v>512.0874109199999</v>
      </c>
    </row>
    <row r="30" spans="2:13" ht="12.75">
      <c r="B30" t="s">
        <v>0</v>
      </c>
      <c r="J30" s="20">
        <v>7</v>
      </c>
      <c r="K30" s="20" t="s">
        <v>154</v>
      </c>
      <c r="L30" s="25">
        <f>4*1.03</f>
        <v>4.12</v>
      </c>
      <c r="M30" s="32">
        <f t="shared" si="1"/>
        <v>722.53429212</v>
      </c>
    </row>
    <row r="31" spans="10:13" ht="12.75">
      <c r="J31" s="20">
        <v>8</v>
      </c>
      <c r="K31" s="20" t="s">
        <v>155</v>
      </c>
      <c r="L31" s="25">
        <f>0.04*41.6</f>
        <v>1.6640000000000001</v>
      </c>
      <c r="M31" s="32">
        <f t="shared" si="1"/>
        <v>291.819675264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 t="s">
        <v>164</v>
      </c>
      <c r="L32" s="25">
        <f>3*155</f>
        <v>465</v>
      </c>
      <c r="M32" s="32">
        <f t="shared" si="1"/>
        <v>81548.16646499999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 t="s">
        <v>171</v>
      </c>
      <c r="L33" s="48">
        <f>0.06*174.8</f>
        <v>10.488</v>
      </c>
      <c r="M33" s="32">
        <f t="shared" si="1"/>
        <v>1839.3057416879997</v>
      </c>
    </row>
    <row r="34" spans="1:13" ht="12.75">
      <c r="A34" t="s">
        <v>3</v>
      </c>
      <c r="J34" s="20">
        <v>11</v>
      </c>
      <c r="K34" s="20" t="s">
        <v>172</v>
      </c>
      <c r="L34" s="48">
        <f>0.04*156.46</f>
        <v>6.258400000000001</v>
      </c>
      <c r="M34" s="32">
        <f t="shared" si="1"/>
        <v>1097.5506344184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 t="s">
        <v>177</v>
      </c>
      <c r="L35" s="25">
        <v>160.4</v>
      </c>
      <c r="M35" s="32">
        <f t="shared" si="1"/>
        <v>28129.733120399997</v>
      </c>
    </row>
    <row r="36" spans="10:13" ht="12.75">
      <c r="J36" s="20">
        <v>13</v>
      </c>
      <c r="K36" s="47" t="s">
        <v>179</v>
      </c>
      <c r="L36" s="25">
        <v>3.47</v>
      </c>
      <c r="M36" s="32">
        <f t="shared" si="1"/>
        <v>608.54223147</v>
      </c>
    </row>
    <row r="37" spans="2:13" ht="12.75">
      <c r="B37" s="1" t="s">
        <v>5</v>
      </c>
      <c r="C37" s="1"/>
      <c r="J37" s="20">
        <v>14</v>
      </c>
      <c r="K37" s="47" t="s">
        <v>184</v>
      </c>
      <c r="L37" s="25">
        <f>0.07*89.1</f>
        <v>6.237</v>
      </c>
      <c r="M37" s="32">
        <f t="shared" si="1"/>
        <v>1093.797665037</v>
      </c>
    </row>
    <row r="38" spans="10:13" ht="12.75">
      <c r="J38" s="20">
        <v>15</v>
      </c>
      <c r="K38" s="47" t="s">
        <v>190</v>
      </c>
      <c r="L38" s="25">
        <v>0.39</v>
      </c>
      <c r="M38" s="32">
        <f t="shared" si="1"/>
        <v>68.39523639</v>
      </c>
    </row>
    <row r="39" spans="1:13" ht="12.75">
      <c r="A39" s="2" t="s">
        <v>6</v>
      </c>
      <c r="F39" s="11">
        <v>54473.67</v>
      </c>
      <c r="J39" s="20">
        <v>16</v>
      </c>
      <c r="K39" s="47" t="s">
        <v>192</v>
      </c>
      <c r="L39" s="25">
        <f>0.13*7.1</f>
        <v>0.9229999999999999</v>
      </c>
      <c r="M39" s="32">
        <f t="shared" si="1"/>
        <v>161.868726123</v>
      </c>
    </row>
    <row r="40" spans="1:13" ht="12.75">
      <c r="A40" t="s">
        <v>7</v>
      </c>
      <c r="F40" s="5">
        <v>51164.51</v>
      </c>
      <c r="J40" s="20"/>
      <c r="K40" s="29" t="s">
        <v>57</v>
      </c>
      <c r="L40" s="28">
        <f>SUM(L24:L37)</f>
        <v>689.4126</v>
      </c>
      <c r="M40" s="33">
        <f>SUM(M24:M39)</f>
        <v>121134.20690416556</v>
      </c>
    </row>
    <row r="41" spans="2:11" ht="12.75">
      <c r="B41" t="s">
        <v>8</v>
      </c>
      <c r="F41" s="9">
        <f>F40/F39</f>
        <v>0.9392521194184273</v>
      </c>
      <c r="K41" s="1" t="s">
        <v>61</v>
      </c>
    </row>
    <row r="42" spans="1:13" ht="12.75">
      <c r="A42" t="s">
        <v>127</v>
      </c>
      <c r="F42" s="5">
        <f>250+400+400+250</f>
        <v>1300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52464.51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25">
        <f>4*149</f>
        <v>596</v>
      </c>
    </row>
    <row r="45" spans="2:13" ht="12.75">
      <c r="B45" s="1" t="s">
        <v>10</v>
      </c>
      <c r="C45" s="1"/>
      <c r="J45" s="20">
        <v>2</v>
      </c>
      <c r="K45" s="20" t="s">
        <v>139</v>
      </c>
      <c r="L45" s="25" t="s">
        <v>140</v>
      </c>
      <c r="M45" s="25">
        <v>78</v>
      </c>
    </row>
    <row r="46" spans="10:13" ht="12.75">
      <c r="J46" s="20">
        <v>3</v>
      </c>
      <c r="K46" s="20" t="s">
        <v>141</v>
      </c>
      <c r="L46" s="25" t="s">
        <v>140</v>
      </c>
      <c r="M46" s="25">
        <v>707.5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142</v>
      </c>
      <c r="L47" s="25" t="s">
        <v>140</v>
      </c>
      <c r="M47" s="25">
        <v>137</v>
      </c>
    </row>
    <row r="48" spans="1:13" ht="12.75">
      <c r="A48" t="s">
        <v>12</v>
      </c>
      <c r="F48" s="11">
        <f>(6346.4)*1.202</f>
        <v>7628.372799999999</v>
      </c>
      <c r="J48" s="20">
        <v>5</v>
      </c>
      <c r="K48" s="20" t="s">
        <v>143</v>
      </c>
      <c r="L48" s="25" t="s">
        <v>144</v>
      </c>
      <c r="M48" s="48">
        <f>2*9</f>
        <v>18</v>
      </c>
    </row>
    <row r="49" spans="1:13" ht="12.75">
      <c r="A49" s="6" t="s">
        <v>15</v>
      </c>
      <c r="F49" s="5">
        <f>2980*1.202</f>
        <v>3581.96</v>
      </c>
      <c r="J49" s="20">
        <v>6</v>
      </c>
      <c r="K49" s="20" t="s">
        <v>145</v>
      </c>
      <c r="L49" s="25" t="s">
        <v>140</v>
      </c>
      <c r="M49" s="25">
        <v>22</v>
      </c>
    </row>
    <row r="50" spans="1:13" ht="12.75">
      <c r="A50" s="6" t="s">
        <v>83</v>
      </c>
      <c r="E50" s="5">
        <v>0.91</v>
      </c>
      <c r="F50" s="5">
        <f>E50*E32</f>
        <v>3161.34</v>
      </c>
      <c r="J50" s="20">
        <v>7</v>
      </c>
      <c r="K50" s="20" t="s">
        <v>137</v>
      </c>
      <c r="L50" s="25" t="s">
        <v>149</v>
      </c>
      <c r="M50" s="25">
        <f>8*149</f>
        <v>1192</v>
      </c>
    </row>
    <row r="51" spans="1:13" ht="12.75">
      <c r="A51" s="4" t="s">
        <v>33</v>
      </c>
      <c r="F51" s="31">
        <f>F48+F49+F50</f>
        <v>14371.6728</v>
      </c>
      <c r="J51" s="20">
        <v>8</v>
      </c>
      <c r="K51" s="20" t="s">
        <v>150</v>
      </c>
      <c r="L51" s="25" t="s">
        <v>144</v>
      </c>
      <c r="M51" s="25">
        <f>2*137</f>
        <v>274</v>
      </c>
    </row>
    <row r="52" spans="1:13" ht="12.75">
      <c r="A52" s="4" t="s">
        <v>16</v>
      </c>
      <c r="J52" s="20">
        <v>9</v>
      </c>
      <c r="K52" s="20" t="s">
        <v>151</v>
      </c>
      <c r="L52" s="25" t="s">
        <v>144</v>
      </c>
      <c r="M52" s="25">
        <f>2*78</f>
        <v>156</v>
      </c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6913.26</v>
      </c>
      <c r="J53" s="20">
        <v>10</v>
      </c>
      <c r="K53" s="20" t="s">
        <v>139</v>
      </c>
      <c r="L53" s="25" t="s">
        <v>144</v>
      </c>
      <c r="M53" s="25">
        <f>2*78</f>
        <v>156</v>
      </c>
    </row>
    <row r="54" spans="1:13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  <c r="J54" s="20">
        <v>11</v>
      </c>
      <c r="K54" s="20" t="s">
        <v>145</v>
      </c>
      <c r="L54" s="25" t="s">
        <v>144</v>
      </c>
      <c r="M54" s="25">
        <f>2*22</f>
        <v>44</v>
      </c>
    </row>
    <row r="55" spans="1:13" ht="12.75">
      <c r="A55" s="4" t="s">
        <v>17</v>
      </c>
      <c r="B55" s="10"/>
      <c r="C55" s="10"/>
      <c r="F55" s="31">
        <f>SUM(F53:F54)</f>
        <v>7291.5</v>
      </c>
      <c r="J55" s="20">
        <v>12</v>
      </c>
      <c r="K55" s="20" t="s">
        <v>156</v>
      </c>
      <c r="L55" s="25" t="s">
        <v>140</v>
      </c>
      <c r="M55" s="25">
        <v>5377.64</v>
      </c>
    </row>
    <row r="56" spans="1:13" ht="12.75">
      <c r="A56" s="4" t="s">
        <v>18</v>
      </c>
      <c r="B56" s="4"/>
      <c r="J56" s="20">
        <v>13</v>
      </c>
      <c r="K56" s="20" t="s">
        <v>157</v>
      </c>
      <c r="L56" s="25" t="s">
        <v>144</v>
      </c>
      <c r="M56" s="25">
        <f>2*428.63</f>
        <v>857.26</v>
      </c>
    </row>
    <row r="57" spans="1:13" ht="12.75">
      <c r="A57" t="s">
        <v>19</v>
      </c>
      <c r="C57">
        <v>184976</v>
      </c>
      <c r="D57">
        <v>229360</v>
      </c>
      <c r="E57">
        <v>3474</v>
      </c>
      <c r="F57" s="34">
        <f>C57/D57*E57</f>
        <v>2801.737983955354</v>
      </c>
      <c r="J57" s="20">
        <v>14</v>
      </c>
      <c r="K57" s="20" t="s">
        <v>158</v>
      </c>
      <c r="L57" s="25" t="s">
        <v>159</v>
      </c>
      <c r="M57" s="25">
        <f>4*536.5</f>
        <v>2146</v>
      </c>
    </row>
    <row r="58" spans="1:13" ht="12.75">
      <c r="A58" t="s">
        <v>20</v>
      </c>
      <c r="F58" s="34">
        <f>M20</f>
        <v>1557.0019254</v>
      </c>
      <c r="J58" s="20">
        <v>15</v>
      </c>
      <c r="K58" s="20" t="s">
        <v>160</v>
      </c>
      <c r="L58" s="25" t="s">
        <v>159</v>
      </c>
      <c r="M58" s="25">
        <f>4*47.15</f>
        <v>188.6</v>
      </c>
    </row>
    <row r="59" spans="1:13" ht="12.75">
      <c r="A59" t="s">
        <v>21</v>
      </c>
      <c r="F59" s="11">
        <f>M40</f>
        <v>121134.20690416556</v>
      </c>
      <c r="J59" s="20">
        <v>16</v>
      </c>
      <c r="K59" s="20" t="s">
        <v>161</v>
      </c>
      <c r="L59" s="25" t="s">
        <v>162</v>
      </c>
      <c r="M59" s="25">
        <f>(29*8)+(8*6)</f>
        <v>280</v>
      </c>
    </row>
    <row r="60" spans="1:13" ht="12.75">
      <c r="A60" t="s">
        <v>71</v>
      </c>
      <c r="F60" s="5">
        <v>0</v>
      </c>
      <c r="J60" s="20">
        <v>17</v>
      </c>
      <c r="K60" s="20" t="s">
        <v>163</v>
      </c>
      <c r="L60" s="25" t="s">
        <v>159</v>
      </c>
      <c r="M60" s="25">
        <f>4*18.75</f>
        <v>75</v>
      </c>
    </row>
    <row r="61" spans="1:13" ht="12.75">
      <c r="A61" t="s">
        <v>22</v>
      </c>
      <c r="F61" s="11">
        <f>M77</f>
        <v>37325.69</v>
      </c>
      <c r="J61" s="20">
        <v>18</v>
      </c>
      <c r="K61" s="20" t="s">
        <v>165</v>
      </c>
      <c r="L61" s="25" t="s">
        <v>166</v>
      </c>
      <c r="M61" s="25">
        <f>3*118</f>
        <v>354</v>
      </c>
    </row>
    <row r="62" spans="1:13" ht="12.75">
      <c r="A62" t="s">
        <v>23</v>
      </c>
      <c r="F62" s="5"/>
      <c r="J62" s="20">
        <v>19</v>
      </c>
      <c r="K62" s="20" t="s">
        <v>167</v>
      </c>
      <c r="L62" s="25" t="s">
        <v>168</v>
      </c>
      <c r="M62" s="25">
        <f>6*12</f>
        <v>72</v>
      </c>
    </row>
    <row r="63" spans="1:13" ht="12.75">
      <c r="A63" t="s">
        <v>24</v>
      </c>
      <c r="F63" s="5"/>
      <c r="J63" s="20">
        <v>20</v>
      </c>
      <c r="K63" s="20" t="s">
        <v>169</v>
      </c>
      <c r="L63" s="25" t="s">
        <v>168</v>
      </c>
      <c r="M63" s="25">
        <f>6*114.25</f>
        <v>685.5</v>
      </c>
    </row>
    <row r="64" spans="2:13" ht="12.75">
      <c r="B64">
        <v>3474</v>
      </c>
      <c r="C64" t="s">
        <v>13</v>
      </c>
      <c r="D64" s="11">
        <v>0.64</v>
      </c>
      <c r="E64" t="s">
        <v>14</v>
      </c>
      <c r="F64" s="11">
        <f>B64*D64</f>
        <v>2223.36</v>
      </c>
      <c r="J64" s="20">
        <v>21</v>
      </c>
      <c r="K64" s="20" t="s">
        <v>170</v>
      </c>
      <c r="L64" s="25" t="s">
        <v>168</v>
      </c>
      <c r="M64" s="25">
        <f>6*140</f>
        <v>840</v>
      </c>
    </row>
    <row r="65" spans="1:13" ht="12.75">
      <c r="A65" s="53" t="s">
        <v>82</v>
      </c>
      <c r="B65" s="53"/>
      <c r="C65" s="53"/>
      <c r="D65" s="54"/>
      <c r="E65" s="53"/>
      <c r="F65" s="54">
        <v>0</v>
      </c>
      <c r="J65" s="20">
        <v>22</v>
      </c>
      <c r="K65" s="20" t="s">
        <v>173</v>
      </c>
      <c r="L65" s="25" t="s">
        <v>174</v>
      </c>
      <c r="M65" s="25">
        <f>56*46.72</f>
        <v>2616.3199999999997</v>
      </c>
    </row>
    <row r="66" spans="1:13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 t="s">
        <v>175</v>
      </c>
      <c r="L66" s="25" t="s">
        <v>138</v>
      </c>
      <c r="M66" s="25">
        <f>4*189</f>
        <v>756</v>
      </c>
    </row>
    <row r="67" spans="1:13" ht="12.75">
      <c r="A67" s="4" t="s">
        <v>25</v>
      </c>
      <c r="B67" s="10"/>
      <c r="C67" s="10"/>
      <c r="F67" s="31">
        <f>SUM(F57:F66)</f>
        <v>165041.9968135209</v>
      </c>
      <c r="J67" s="20">
        <v>24</v>
      </c>
      <c r="K67" s="20" t="s">
        <v>176</v>
      </c>
      <c r="L67" s="25" t="s">
        <v>144</v>
      </c>
      <c r="M67" s="25">
        <f>2*27</f>
        <v>54</v>
      </c>
    </row>
    <row r="68" spans="1:13" ht="12.75">
      <c r="A68" s="4" t="s">
        <v>26</v>
      </c>
      <c r="F68" s="5"/>
      <c r="J68" s="20">
        <v>25</v>
      </c>
      <c r="K68" s="20" t="s">
        <v>178</v>
      </c>
      <c r="L68" s="25"/>
      <c r="M68" s="25">
        <v>16827.81</v>
      </c>
    </row>
    <row r="69" spans="1:13" ht="12.75">
      <c r="A69" t="s">
        <v>27</v>
      </c>
      <c r="B69">
        <v>3474</v>
      </c>
      <c r="C69" t="s">
        <v>65</v>
      </c>
      <c r="D69" s="5">
        <v>0.25</v>
      </c>
      <c r="E69" t="s">
        <v>14</v>
      </c>
      <c r="F69" s="11">
        <f>B69*D69</f>
        <v>868.5</v>
      </c>
      <c r="J69" s="20">
        <v>26</v>
      </c>
      <c r="K69" s="20" t="s">
        <v>180</v>
      </c>
      <c r="L69" s="25" t="s">
        <v>181</v>
      </c>
      <c r="M69" s="25">
        <f>3*97</f>
        <v>291</v>
      </c>
    </row>
    <row r="70" spans="1:13" ht="12.75">
      <c r="A70" t="s">
        <v>28</v>
      </c>
      <c r="F70" s="5"/>
      <c r="J70" s="20">
        <v>27</v>
      </c>
      <c r="K70" s="20" t="s">
        <v>182</v>
      </c>
      <c r="L70" s="25" t="s">
        <v>183</v>
      </c>
      <c r="M70" s="25">
        <f>10*6.57</f>
        <v>65.7</v>
      </c>
    </row>
    <row r="71" spans="1:13" ht="12.75">
      <c r="A71" s="7" t="s">
        <v>72</v>
      </c>
      <c r="F71" s="5"/>
      <c r="J71" s="20">
        <v>28</v>
      </c>
      <c r="K71" s="20" t="s">
        <v>185</v>
      </c>
      <c r="L71" s="25" t="s">
        <v>186</v>
      </c>
      <c r="M71" s="25">
        <f>7*281.53</f>
        <v>1970.7099999999998</v>
      </c>
    </row>
    <row r="72" spans="2:13" ht="12.75">
      <c r="B72">
        <v>3474</v>
      </c>
      <c r="C72" t="s">
        <v>13</v>
      </c>
      <c r="D72" s="11">
        <v>1.25</v>
      </c>
      <c r="E72" t="s">
        <v>14</v>
      </c>
      <c r="F72" s="11">
        <f>B72*D72</f>
        <v>4342.5</v>
      </c>
      <c r="J72" s="20">
        <v>29</v>
      </c>
      <c r="K72" s="20" t="s">
        <v>187</v>
      </c>
      <c r="L72" s="25" t="s">
        <v>188</v>
      </c>
      <c r="M72" s="25">
        <f>100*1.13</f>
        <v>112.99999999999999</v>
      </c>
    </row>
    <row r="73" spans="1:13" ht="12.75">
      <c r="A73" s="4" t="s">
        <v>29</v>
      </c>
      <c r="F73" s="31">
        <f>F69+F72</f>
        <v>5211</v>
      </c>
      <c r="J73" s="20">
        <v>30</v>
      </c>
      <c r="K73" s="20" t="s">
        <v>189</v>
      </c>
      <c r="L73" s="25" t="s">
        <v>183</v>
      </c>
      <c r="M73" s="25">
        <f>10*19.04</f>
        <v>190.39999999999998</v>
      </c>
    </row>
    <row r="74" spans="1:13" ht="12.75">
      <c r="A74" s="4" t="s">
        <v>30</v>
      </c>
      <c r="J74" s="20">
        <v>31</v>
      </c>
      <c r="K74" s="20" t="s">
        <v>191</v>
      </c>
      <c r="L74" s="25" t="s">
        <v>140</v>
      </c>
      <c r="M74" s="25">
        <v>17.59</v>
      </c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 t="s">
        <v>193</v>
      </c>
      <c r="L75" s="25" t="s">
        <v>194</v>
      </c>
      <c r="M75" s="25">
        <f>13*12.82</f>
        <v>166.66</v>
      </c>
    </row>
    <row r="76" spans="2:13" ht="12.75">
      <c r="B76">
        <v>3474</v>
      </c>
      <c r="C76" t="s">
        <v>13</v>
      </c>
      <c r="D76" s="11">
        <v>2.41</v>
      </c>
      <c r="E76" t="s">
        <v>14</v>
      </c>
      <c r="F76" s="11">
        <f>B76*D76</f>
        <v>8372.34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8372.34</v>
      </c>
      <c r="J77" s="20"/>
      <c r="K77" s="20"/>
      <c r="L77" s="30" t="s">
        <v>64</v>
      </c>
      <c r="M77" s="33">
        <f>SUM(M44:M76)</f>
        <v>37325.69</v>
      </c>
    </row>
    <row r="78" spans="1:6" ht="12.75">
      <c r="A78" s="49" t="s">
        <v>77</v>
      </c>
      <c r="B78" s="50"/>
      <c r="C78" s="50"/>
      <c r="D78" s="51">
        <v>2.83</v>
      </c>
      <c r="E78" s="50"/>
      <c r="F78" s="52">
        <f>D78*E32</f>
        <v>9831.42</v>
      </c>
    </row>
    <row r="79" spans="1:6" ht="12.75">
      <c r="A79" s="1" t="s">
        <v>32</v>
      </c>
      <c r="B79" s="1"/>
      <c r="F79" s="31">
        <f>F51+F55+F67+F73+F77+F78</f>
        <v>210119.92961352092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12186.955917584211</v>
      </c>
    </row>
    <row r="81" spans="1:6" ht="12.75">
      <c r="A81" s="1"/>
      <c r="B81" s="35" t="s">
        <v>129</v>
      </c>
      <c r="C81" s="35"/>
      <c r="D81" s="1"/>
      <c r="E81" s="59"/>
      <c r="F81" s="60">
        <v>1935.15</v>
      </c>
    </row>
    <row r="82" spans="1:6" ht="12.75">
      <c r="A82" s="1"/>
      <c r="B82" s="35" t="s">
        <v>130</v>
      </c>
      <c r="C82" s="35"/>
      <c r="D82" s="1"/>
      <c r="E82" s="59"/>
      <c r="F82" s="60">
        <v>375.84</v>
      </c>
    </row>
    <row r="83" spans="1:6" ht="12.75">
      <c r="A83" s="1"/>
      <c r="B83" s="35" t="s">
        <v>131</v>
      </c>
      <c r="C83" s="35"/>
      <c r="D83" s="1"/>
      <c r="E83" s="59"/>
      <c r="F83" s="60">
        <v>1935.15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226553.02553110512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43800</v>
      </c>
      <c r="C86" s="39">
        <v>-341438</v>
      </c>
      <c r="D86" s="44">
        <f>F43</f>
        <v>52464.51</v>
      </c>
      <c r="E86" s="44">
        <f>F84</f>
        <v>226553.02553110512</v>
      </c>
      <c r="F86" s="45">
        <f>C86+D86-E86</f>
        <v>-515526.5155311051</v>
      </c>
    </row>
    <row r="88" spans="1:6" ht="13.5" thickBot="1">
      <c r="A88" t="s">
        <v>112</v>
      </c>
      <c r="C88" s="56">
        <v>43435</v>
      </c>
      <c r="D88" s="8" t="s">
        <v>113</v>
      </c>
      <c r="E88" s="56">
        <v>43465</v>
      </c>
      <c r="F88" t="s">
        <v>114</v>
      </c>
    </row>
    <row r="89" spans="1:7" ht="13.5" thickBot="1">
      <c r="A89" t="s">
        <v>115</v>
      </c>
      <c r="F89" s="57">
        <f>E86</f>
        <v>226553.02553110512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2019-03-13T09:40:25Z</dcterms:modified>
  <cp:category/>
  <cp:version/>
  <cp:contentType/>
  <cp:contentStatus/>
</cp:coreProperties>
</file>