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<sst xmlns="http://schemas.openxmlformats.org/spreadsheetml/2006/main" count="228" uniqueCount="187">
  <si>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</si>
  <si>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</si>
  <si>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</si>
  <si>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</si>
  <si>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</si>
  <si>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</si>
  <si>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</si>
  <si>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</si>
  <si>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</si>
  <si>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</si>
  <si>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</si>
  <si>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</si>
  <si>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</si>
  <si>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</si>
  <si>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</si>
  <si>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</si>
  <si>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</si>
  <si>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</si>
  <si>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</si>
  <si>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</si>
  <si>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</si>
  <si>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</si>
  <si>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</si>
  <si>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</si>
  <si>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</si>
  <si>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</si>
  <si>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</si>
  <si>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</si>
  <si>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</si>
  <si>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</si>
  <si>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</si>
  <si>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</si>
  <si>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</si>
  <si>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</si>
  <si>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</si>
  <si>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</si>
  <si>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</si>
  <si>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</si>
  <si>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</si>
  <si>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</si>
  <si>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</si>
  <si>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</si>
  <si>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</si>
  <si>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</si>
  <si>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</si>
  <si>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</si>
  <si>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</si>
  <si>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</si>
  <si>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</si>
  <si>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</si>
  <si>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</si>
  <si>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</si>
  <si>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</si>
  <si>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</si>
  <si>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</si>
  <si>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</si>
  <si>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</si>
  <si>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</si>
  <si>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</si>
  <si>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</si>
  <si>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</si>
  <si>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</si>
  <si>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</si>
  <si>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</si>
  <si>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</si>
  <si>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</si>
  <si>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</si>
  <si>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</si>
  <si>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</si>
  <si>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</si>
  <si>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</si>
  <si>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</si>
  <si>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</si>
  <si>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</si>
  <si>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</si>
  <si>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</si>
  <si>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</si>
  <si>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</si>
  <si>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</si>
  <si>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</si>
  <si>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</si>
  <si>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</si>
  <si>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</si>
  <si>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</si>
  <si>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</si>
  <si>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</si>
  <si>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</si>
  <si>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</si>
  <si>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</si>
  <si>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</si>
  <si>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</si>
  <si>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</si>
  <si>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</si>
  <si>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</si>
  <si>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</si>
  <si>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</si>
  <si>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</si>
  <si>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</si>
  <si>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</si>
  <si>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</si>
  <si>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</si>
  <si>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</si>
  <si>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</si>
  <si>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</si>
  <si>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</si>
  <si>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</si>
  <si>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</si>
  <si>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</si>
  <si>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</si>
  <si>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</si>
  <si>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</si>
  <si>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</si>
  <si>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</si>
  <si>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</si>
  <si>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</si>
  <si>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</si>
  <si>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</si>
  <si>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</si>
  <si>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</si>
  <si>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</si>
  <si>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</si>
  <si>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</si>
  <si>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</si>
  <si>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</si>
  <si>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</si>
  <si>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</si>
  <si>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(Спарк,ростелеком,комстар,эр-телеком)</t>
  </si>
  <si>
    <t>директора: Падуна Э.В. Действующего на основании _Устава__________________</t>
  </si>
  <si>
    <t>Рязагоргаз (тех.обслуживание и ремонт)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</si>
  <si>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</si>
  <si>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</si>
  <si>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</si>
  <si>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</si>
  <si>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</si>
  <si>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</si>
  <si>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</si>
  <si>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прочистка канализации п-д2</t>
  </si>
  <si>
    <t>смена вентиля д 20 (27шт) т.п.</t>
  </si>
  <si>
    <t>смена вентиля д 15 (25шт) т.п.</t>
  </si>
  <si>
    <t>смена сгона д 15 (25шт) т.п.</t>
  </si>
  <si>
    <t>смена сгона д 20 (27шт) т.п.</t>
  </si>
  <si>
    <t>смена труб д 25 п.пр. (8мп) т.п.</t>
  </si>
  <si>
    <t>вентиль д 20</t>
  </si>
  <si>
    <t>27шт</t>
  </si>
  <si>
    <t>вентиль д 21</t>
  </si>
  <si>
    <t>25шт</t>
  </si>
  <si>
    <t>муфта 15</t>
  </si>
  <si>
    <t>к/гайка 15</t>
  </si>
  <si>
    <t>сгон 15</t>
  </si>
  <si>
    <t>муфта 20</t>
  </si>
  <si>
    <t>к/гайка 20</t>
  </si>
  <si>
    <t>сгон 20</t>
  </si>
  <si>
    <t>бочонок 20</t>
  </si>
  <si>
    <t>11шт</t>
  </si>
  <si>
    <t>уголок п.пр.</t>
  </si>
  <si>
    <t>тройник 25/20 п.пр.</t>
  </si>
  <si>
    <t>52шт</t>
  </si>
  <si>
    <t>труба д 25 п.пр</t>
  </si>
  <si>
    <t>8мп</t>
  </si>
  <si>
    <t>муфта 25 раз.</t>
  </si>
  <si>
    <t>50шт</t>
  </si>
  <si>
    <t>уголок 25</t>
  </si>
  <si>
    <t>6шт</t>
  </si>
  <si>
    <t>муфта 32</t>
  </si>
  <si>
    <t>2шт</t>
  </si>
  <si>
    <t>тройник32/20</t>
  </si>
  <si>
    <t>диск</t>
  </si>
  <si>
    <t>10шт</t>
  </si>
  <si>
    <t>электроды</t>
  </si>
  <si>
    <t>1кг</t>
  </si>
  <si>
    <t>смена труб д32 на п.пр. (4мп)  п-д 5 т.п.</t>
  </si>
  <si>
    <t>смена вентиля д 25 (1шт) п-д 5 т.п.</t>
  </si>
  <si>
    <t>смена вентиля д 20 (1шт) п-д 5 т.п.</t>
  </si>
  <si>
    <t>смена вентиля д 32 (1шт) п-д 5 т.п.</t>
  </si>
  <si>
    <t>труба д 32 п.пр.</t>
  </si>
  <si>
    <t>4мп</t>
  </si>
  <si>
    <t>вентиль д 25</t>
  </si>
  <si>
    <t>1шт</t>
  </si>
  <si>
    <t>муфта п.пр. 25</t>
  </si>
  <si>
    <t>тройник 32/20</t>
  </si>
  <si>
    <t>гебо 32</t>
  </si>
  <si>
    <t>переход 32/25</t>
  </si>
  <si>
    <t>переход 40/32</t>
  </si>
  <si>
    <t>переход 25/20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</si>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</sst>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37">
      <selection activeCell="M72" sqref="M72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9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3.68</v>
      </c>
      <c r="M13" s="46">
        <f t="shared" si="0"/>
        <v>505.590048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1.85</v>
      </c>
      <c r="M16" s="46">
        <f t="shared" si="0"/>
        <v>254.16891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8.280000000000001</v>
      </c>
      <c r="M20" s="33">
        <f>SUM(M6:M19)</f>
        <v>1137.577608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41" t="s">
        <v>136</v>
      </c>
      <c r="L24" s="46">
        <v>4.83</v>
      </c>
      <c r="M24" s="32">
        <f>L24*114.3*1.202*1.15</f>
        <v>763.1249786999998</v>
      </c>
    </row>
    <row r="25" spans="1:13" ht="12.75">
      <c r="A25" t="s">
        <v>106</v>
      </c>
      <c r="J25" s="20">
        <v>2</v>
      </c>
      <c r="K25" s="20" t="s">
        <v>137</v>
      </c>
      <c r="L25" s="56">
        <f>0.27*81</f>
        <v>21.87</v>
      </c>
      <c r="M25" s="32">
        <f>L25*114.3*1.202*1.15</f>
        <v>3455.3919843</v>
      </c>
    </row>
    <row r="26" spans="1:13" ht="12.75">
      <c r="A26" t="s">
        <v>107</v>
      </c>
      <c r="J26" s="20">
        <v>3</v>
      </c>
      <c r="K26" s="20" t="s">
        <v>138</v>
      </c>
      <c r="L26" s="56">
        <f>0.25*81</f>
        <v>20.25</v>
      </c>
      <c r="M26" s="32">
        <f>L26*114.3*1.202*1.15</f>
        <v>3199.4370224999993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41" t="s">
        <v>139</v>
      </c>
      <c r="L27" s="46">
        <f>0.25*28.7</f>
        <v>7.175</v>
      </c>
      <c r="M27" s="32">
        <f>L27*114.3*1.202*1.15</f>
        <v>1133.62768575</v>
      </c>
    </row>
    <row r="28" spans="1:13" ht="12.75">
      <c r="A28" t="s">
        <v>109</v>
      </c>
      <c r="B28" s="1"/>
      <c r="C28" s="1"/>
      <c r="D28" s="1"/>
      <c r="J28" s="20">
        <v>5</v>
      </c>
      <c r="K28" s="41" t="s">
        <v>140</v>
      </c>
      <c r="L28" s="46">
        <f>0.27*28.7</f>
        <v>7.7490000000000006</v>
      </c>
      <c r="M28" s="32">
        <f>L28*114.3*1.202*1.15</f>
        <v>1224.31790061</v>
      </c>
    </row>
    <row r="29" spans="2:13" ht="12.75">
      <c r="B29" s="1"/>
      <c r="C29" s="8"/>
      <c r="D29" s="8"/>
      <c r="J29" s="20">
        <v>6</v>
      </c>
      <c r="K29" s="20" t="s">
        <v>141</v>
      </c>
      <c r="L29" s="46">
        <f>0.08*184.3</f>
        <v>14.744000000000002</v>
      </c>
      <c r="M29" s="32">
        <f aca="true" t="shared" si="1" ref="M29:M38">L29*114.3*1.202*1.15</f>
        <v>2329.50614616</v>
      </c>
    </row>
    <row r="30" spans="10:13" ht="12.75">
      <c r="J30" s="20">
        <v>7</v>
      </c>
      <c r="K30" s="20" t="s">
        <v>170</v>
      </c>
      <c r="L30" s="46">
        <f>0.04*156.46</f>
        <v>6.258400000000001</v>
      </c>
      <c r="M30" s="32">
        <f t="shared" si="1"/>
        <v>988.807736376</v>
      </c>
    </row>
    <row r="31" spans="2:13" ht="12.75">
      <c r="B31" t="s">
        <v>0</v>
      </c>
      <c r="J31" s="20">
        <v>8</v>
      </c>
      <c r="K31" s="20" t="s">
        <v>171</v>
      </c>
      <c r="L31" s="25">
        <v>1.03</v>
      </c>
      <c r="M31" s="32">
        <f t="shared" si="1"/>
        <v>162.73679669999999</v>
      </c>
    </row>
    <row r="32" spans="10:13" ht="12.75">
      <c r="J32" s="20">
        <v>9</v>
      </c>
      <c r="K32" s="20" t="s">
        <v>172</v>
      </c>
      <c r="L32" s="25">
        <v>0.81</v>
      </c>
      <c r="M32" s="32">
        <f t="shared" si="1"/>
        <v>127.97748089999997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20" t="s">
        <v>173</v>
      </c>
      <c r="L33" s="25">
        <v>1.03</v>
      </c>
      <c r="M33" s="32">
        <f t="shared" si="1"/>
        <v>162.73679669999999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 t="s">
        <v>184</v>
      </c>
      <c r="L34" s="25">
        <v>0.35</v>
      </c>
      <c r="M34" s="32">
        <f t="shared" si="1"/>
        <v>55.29891149999999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86.0964</v>
      </c>
      <c r="M39" s="33">
        <f>SUM(M24:M38)</f>
        <v>13602.963440195997</v>
      </c>
    </row>
    <row r="40" spans="1:11" ht="12.75">
      <c r="A40" s="2" t="s">
        <v>6</v>
      </c>
      <c r="F40" s="11">
        <f>53238.14+-1789.93</f>
        <v>51448.21</v>
      </c>
      <c r="K40" s="1" t="s">
        <v>61</v>
      </c>
    </row>
    <row r="41" spans="1:13" ht="12.75">
      <c r="A41" t="s">
        <v>7</v>
      </c>
      <c r="F41" s="5">
        <f>50929.11</f>
        <v>50929.11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0.9899102417751755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126</v>
      </c>
      <c r="F43" s="5">
        <f>250+400+250+400</f>
        <v>1300</v>
      </c>
      <c r="J43" s="20">
        <v>1</v>
      </c>
      <c r="K43" s="20" t="s">
        <v>142</v>
      </c>
      <c r="L43" s="25" t="s">
        <v>143</v>
      </c>
      <c r="M43" s="25">
        <f>27*331</f>
        <v>8937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52229.11</v>
      </c>
      <c r="J44" s="20">
        <v>2</v>
      </c>
      <c r="K44" s="20" t="s">
        <v>144</v>
      </c>
      <c r="L44" s="25" t="s">
        <v>145</v>
      </c>
      <c r="M44" s="25">
        <f>25*228</f>
        <v>5700</v>
      </c>
    </row>
    <row r="45" spans="10:13" ht="12.75">
      <c r="J45" s="20">
        <v>3</v>
      </c>
      <c r="K45" s="20" t="s">
        <v>146</v>
      </c>
      <c r="L45" s="25" t="s">
        <v>145</v>
      </c>
      <c r="M45" s="25">
        <f>25*25</f>
        <v>625</v>
      </c>
    </row>
    <row r="46" spans="2:13" ht="12.75">
      <c r="B46" s="1" t="s">
        <v>10</v>
      </c>
      <c r="C46" s="1"/>
      <c r="J46" s="20">
        <v>4</v>
      </c>
      <c r="K46" s="20" t="s">
        <v>147</v>
      </c>
      <c r="L46" s="25" t="s">
        <v>145</v>
      </c>
      <c r="M46" s="25">
        <f>25*14</f>
        <v>350</v>
      </c>
    </row>
    <row r="47" spans="10:13" ht="12.75">
      <c r="J47" s="20">
        <v>5</v>
      </c>
      <c r="K47" s="20" t="s">
        <v>148</v>
      </c>
      <c r="L47" s="25" t="s">
        <v>145</v>
      </c>
      <c r="M47" s="25">
        <f>25*35</f>
        <v>875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149</v>
      </c>
      <c r="L48" s="25" t="s">
        <v>143</v>
      </c>
      <c r="M48" s="25">
        <f>27*26</f>
        <v>702</v>
      </c>
    </row>
    <row r="49" spans="1:13" ht="12.75">
      <c r="A49" t="s">
        <v>12</v>
      </c>
      <c r="F49" s="11">
        <v>5781.62</v>
      </c>
      <c r="J49" s="20">
        <v>7</v>
      </c>
      <c r="K49" s="20" t="s">
        <v>150</v>
      </c>
      <c r="L49" s="25" t="s">
        <v>143</v>
      </c>
      <c r="M49" s="46">
        <f>27*15</f>
        <v>405</v>
      </c>
    </row>
    <row r="50" spans="1:13" ht="12.75">
      <c r="A50" s="6" t="s">
        <v>15</v>
      </c>
      <c r="F50" s="11">
        <f>(2400+114.28)*1.202</f>
        <v>3022.16456</v>
      </c>
      <c r="J50" s="20">
        <v>8</v>
      </c>
      <c r="K50" s="20" t="s">
        <v>151</v>
      </c>
      <c r="L50" s="25" t="s">
        <v>143</v>
      </c>
      <c r="M50" s="25">
        <f>27*48</f>
        <v>1296</v>
      </c>
    </row>
    <row r="51" spans="1:13" ht="12.75">
      <c r="A51" s="6" t="s">
        <v>82</v>
      </c>
      <c r="E51" s="5">
        <v>0</v>
      </c>
      <c r="F51" s="5">
        <f>E51*E33</f>
        <v>0</v>
      </c>
      <c r="J51" s="20">
        <v>9</v>
      </c>
      <c r="K51" s="20" t="s">
        <v>152</v>
      </c>
      <c r="L51" s="25" t="s">
        <v>153</v>
      </c>
      <c r="M51" s="25">
        <f>11*26</f>
        <v>286</v>
      </c>
    </row>
    <row r="52" spans="1:13" ht="12.75">
      <c r="A52" s="4" t="s">
        <v>33</v>
      </c>
      <c r="F52" s="31">
        <f>F49+F50+F51</f>
        <v>8803.78456</v>
      </c>
      <c r="J52" s="20">
        <v>10</v>
      </c>
      <c r="K52" s="20" t="s">
        <v>154</v>
      </c>
      <c r="L52" s="25" t="s">
        <v>145</v>
      </c>
      <c r="M52" s="25">
        <f>25*5.88</f>
        <v>147</v>
      </c>
    </row>
    <row r="53" spans="1:13" ht="12.75">
      <c r="A53" s="4" t="s">
        <v>16</v>
      </c>
      <c r="J53" s="20">
        <v>11</v>
      </c>
      <c r="K53" s="20" t="s">
        <v>155</v>
      </c>
      <c r="L53" s="25" t="s">
        <v>156</v>
      </c>
      <c r="M53" s="25">
        <f>52*7.01</f>
        <v>364.52</v>
      </c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6658.5599999999995</v>
      </c>
      <c r="J54" s="20">
        <v>12</v>
      </c>
      <c r="K54" s="20" t="s">
        <v>157</v>
      </c>
      <c r="L54" s="25" t="s">
        <v>158</v>
      </c>
      <c r="M54" s="25">
        <f>8*94</f>
        <v>752</v>
      </c>
    </row>
    <row r="55" spans="1:13" ht="12.75">
      <c r="A55" t="s">
        <v>78</v>
      </c>
      <c r="B55">
        <v>923.5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 t="s">
        <v>159</v>
      </c>
      <c r="L55" s="25" t="s">
        <v>160</v>
      </c>
      <c r="M55" s="25">
        <f>50*131.5</f>
        <v>6575</v>
      </c>
    </row>
    <row r="56" spans="1:13" ht="12.75">
      <c r="A56" s="4" t="s">
        <v>17</v>
      </c>
      <c r="B56" s="10"/>
      <c r="C56" s="10"/>
      <c r="F56" s="31">
        <f>SUM(F54:F55)</f>
        <v>6658.5599999999995</v>
      </c>
      <c r="J56" s="20">
        <v>14</v>
      </c>
      <c r="K56" s="20" t="s">
        <v>161</v>
      </c>
      <c r="L56" s="25" t="s">
        <v>162</v>
      </c>
      <c r="M56" s="25">
        <f>6*26</f>
        <v>156</v>
      </c>
    </row>
    <row r="57" spans="1:13" ht="12.75">
      <c r="A57" s="4" t="s">
        <v>18</v>
      </c>
      <c r="B57" s="4"/>
      <c r="J57" s="20">
        <v>15</v>
      </c>
      <c r="K57" s="20" t="s">
        <v>163</v>
      </c>
      <c r="L57" s="25" t="s">
        <v>164</v>
      </c>
      <c r="M57" s="25">
        <f>2*166</f>
        <v>332</v>
      </c>
    </row>
    <row r="58" spans="1:13" ht="12.75">
      <c r="A58" t="s">
        <v>19</v>
      </c>
      <c r="C58">
        <v>161506</v>
      </c>
      <c r="D58">
        <v>228935.4</v>
      </c>
      <c r="E58">
        <v>3468</v>
      </c>
      <c r="F58" s="34">
        <f>C58/D58*E58</f>
        <v>2446.5539536480596</v>
      </c>
      <c r="J58" s="20">
        <v>17</v>
      </c>
      <c r="K58" s="20" t="s">
        <v>165</v>
      </c>
      <c r="L58" s="25" t="s">
        <v>164</v>
      </c>
      <c r="M58" s="25">
        <f>2*15</f>
        <v>30</v>
      </c>
    </row>
    <row r="59" spans="1:13" ht="12.75">
      <c r="A59" t="s">
        <v>20</v>
      </c>
      <c r="F59" s="34">
        <f>M20</f>
        <v>1137.577608</v>
      </c>
      <c r="J59" s="20">
        <v>18</v>
      </c>
      <c r="K59" s="20" t="s">
        <v>166</v>
      </c>
      <c r="L59" s="25" t="s">
        <v>167</v>
      </c>
      <c r="M59" s="25">
        <f>10*22</f>
        <v>220</v>
      </c>
    </row>
    <row r="60" spans="1:13" ht="12.75">
      <c r="A60" t="s">
        <v>21</v>
      </c>
      <c r="F60" s="11">
        <f>M39</f>
        <v>13602.963440195997</v>
      </c>
      <c r="J60" s="20">
        <v>19</v>
      </c>
      <c r="K60" s="20" t="s">
        <v>168</v>
      </c>
      <c r="L60" s="25" t="s">
        <v>169</v>
      </c>
      <c r="M60" s="25">
        <v>131.32</v>
      </c>
    </row>
    <row r="61" spans="1:13" ht="12.75">
      <c r="A61" t="s">
        <v>71</v>
      </c>
      <c r="F61" s="5">
        <v>0</v>
      </c>
      <c r="J61" s="20">
        <v>20</v>
      </c>
      <c r="K61" s="20" t="s">
        <v>174</v>
      </c>
      <c r="L61" s="25" t="s">
        <v>175</v>
      </c>
      <c r="M61" s="25">
        <f>4*134.87</f>
        <v>539.48</v>
      </c>
    </row>
    <row r="62" spans="1:13" ht="12.75">
      <c r="A62" t="s">
        <v>22</v>
      </c>
      <c r="F62" s="11">
        <f>M81</f>
        <v>30367.82</v>
      </c>
      <c r="J62" s="20">
        <v>21</v>
      </c>
      <c r="K62" s="20" t="s">
        <v>176</v>
      </c>
      <c r="L62" s="25" t="s">
        <v>177</v>
      </c>
      <c r="M62" s="25">
        <f>496</f>
        <v>496</v>
      </c>
    </row>
    <row r="63" spans="1:13" ht="12.75">
      <c r="A63" t="s">
        <v>23</v>
      </c>
      <c r="F63" s="5"/>
      <c r="J63" s="20">
        <v>22</v>
      </c>
      <c r="K63" s="20" t="s">
        <v>178</v>
      </c>
      <c r="L63" s="25" t="s">
        <v>164</v>
      </c>
      <c r="M63" s="25">
        <v>160</v>
      </c>
    </row>
    <row r="64" spans="1:13" ht="12.75">
      <c r="A64" t="s">
        <v>24</v>
      </c>
      <c r="F64" s="5"/>
      <c r="J64" s="20">
        <v>23</v>
      </c>
      <c r="K64" s="20" t="s">
        <v>142</v>
      </c>
      <c r="L64" s="25" t="s">
        <v>177</v>
      </c>
      <c r="M64" s="25">
        <v>331</v>
      </c>
    </row>
    <row r="65" spans="2:13" ht="12.75">
      <c r="B65">
        <v>3468</v>
      </c>
      <c r="C65" t="s">
        <v>13</v>
      </c>
      <c r="D65" s="11">
        <v>0.23</v>
      </c>
      <c r="E65" t="s">
        <v>14</v>
      </c>
      <c r="F65" s="11">
        <f>B65*D65</f>
        <v>797.64</v>
      </c>
      <c r="J65" s="20">
        <v>24</v>
      </c>
      <c r="K65" s="20" t="s">
        <v>179</v>
      </c>
      <c r="L65" s="25" t="s">
        <v>177</v>
      </c>
      <c r="M65" s="25">
        <f>1*15</f>
        <v>15</v>
      </c>
    </row>
    <row r="66" spans="1:13" ht="12.75">
      <c r="A66" t="s">
        <v>83</v>
      </c>
      <c r="D66" s="11"/>
      <c r="F66" s="11">
        <f>D66*E33</f>
        <v>0</v>
      </c>
      <c r="J66" s="20">
        <v>25</v>
      </c>
      <c r="K66" s="20" t="s">
        <v>180</v>
      </c>
      <c r="L66" s="25" t="s">
        <v>177</v>
      </c>
      <c r="M66" s="25">
        <v>620</v>
      </c>
    </row>
    <row r="67" spans="1:13" ht="12.75">
      <c r="A67" s="54" t="s">
        <v>128</v>
      </c>
      <c r="B67" s="54"/>
      <c r="C67" s="54"/>
      <c r="D67" s="55">
        <v>0</v>
      </c>
      <c r="E67" s="54"/>
      <c r="F67" s="55">
        <v>0</v>
      </c>
      <c r="J67" s="20">
        <v>26</v>
      </c>
      <c r="K67" s="20" t="s">
        <v>181</v>
      </c>
      <c r="L67" s="25" t="s">
        <v>177</v>
      </c>
      <c r="M67" s="25">
        <v>6</v>
      </c>
    </row>
    <row r="68" spans="1:13" ht="12.75">
      <c r="A68" s="4" t="s">
        <v>25</v>
      </c>
      <c r="B68" s="10"/>
      <c r="C68" s="10"/>
      <c r="F68" s="31">
        <f>SUM(F58:F67)</f>
        <v>48352.555001844055</v>
      </c>
      <c r="J68" s="20">
        <v>27</v>
      </c>
      <c r="K68" s="20" t="s">
        <v>182</v>
      </c>
      <c r="L68" s="25" t="s">
        <v>177</v>
      </c>
      <c r="M68" s="25">
        <v>178.5</v>
      </c>
    </row>
    <row r="69" spans="1:13" ht="12.75">
      <c r="A69" s="4" t="s">
        <v>26</v>
      </c>
      <c r="J69" s="20">
        <v>28</v>
      </c>
      <c r="K69" s="20" t="s">
        <v>183</v>
      </c>
      <c r="L69" s="25" t="s">
        <v>177</v>
      </c>
      <c r="M69" s="25">
        <v>15</v>
      </c>
    </row>
    <row r="70" spans="1:13" ht="12.75">
      <c r="A70" t="s">
        <v>27</v>
      </c>
      <c r="B70">
        <v>3468</v>
      </c>
      <c r="C70" t="s">
        <v>65</v>
      </c>
      <c r="D70" s="5">
        <v>0.21</v>
      </c>
      <c r="E70" t="s">
        <v>14</v>
      </c>
      <c r="F70" s="11">
        <f>B70*D70</f>
        <v>728.28</v>
      </c>
      <c r="J70" s="20">
        <v>29</v>
      </c>
      <c r="K70" s="20" t="s">
        <v>181</v>
      </c>
      <c r="L70" s="25" t="s">
        <v>177</v>
      </c>
      <c r="M70" s="25">
        <v>58</v>
      </c>
    </row>
    <row r="71" spans="1:13" ht="12.75">
      <c r="A71" t="s">
        <v>28</v>
      </c>
      <c r="J71" s="20">
        <v>30</v>
      </c>
      <c r="K71" s="20" t="s">
        <v>185</v>
      </c>
      <c r="L71" s="25" t="s">
        <v>186</v>
      </c>
      <c r="M71" s="25">
        <f>5*13</f>
        <v>65</v>
      </c>
    </row>
    <row r="72" spans="1:13" ht="12.75">
      <c r="A72" s="7" t="s">
        <v>72</v>
      </c>
      <c r="J72" s="20">
        <v>31</v>
      </c>
      <c r="K72" s="20"/>
      <c r="L72" s="25"/>
      <c r="M72" s="25"/>
    </row>
    <row r="73" spans="2:13" ht="12.75">
      <c r="B73">
        <v>3468</v>
      </c>
      <c r="C73" t="s">
        <v>13</v>
      </c>
      <c r="D73" s="11">
        <v>1.01</v>
      </c>
      <c r="E73" t="s">
        <v>14</v>
      </c>
      <c r="F73" s="11">
        <f>B73*D73</f>
        <v>3502.68</v>
      </c>
      <c r="J73" s="20">
        <v>32</v>
      </c>
      <c r="K73" s="20"/>
      <c r="L73" s="25"/>
      <c r="M73" s="25"/>
    </row>
    <row r="74" spans="1:13" ht="12.75">
      <c r="A74" s="4" t="s">
        <v>29</v>
      </c>
      <c r="F74" s="31">
        <f>F70+F73</f>
        <v>4230.96</v>
      </c>
      <c r="J74" s="20">
        <v>33</v>
      </c>
      <c r="K74" s="20"/>
      <c r="L74" s="25"/>
      <c r="M74" s="25"/>
    </row>
    <row r="75" spans="1:13" ht="12.75">
      <c r="A75" s="4" t="s">
        <v>30</v>
      </c>
      <c r="J75" s="20">
        <v>34</v>
      </c>
      <c r="K75" s="20"/>
      <c r="L75" s="25"/>
      <c r="M75" s="25"/>
    </row>
    <row r="76" spans="1:13" ht="12.75">
      <c r="A76" s="7" t="s">
        <v>73</v>
      </c>
      <c r="B76" s="7"/>
      <c r="C76" s="7"/>
      <c r="D76" s="7"/>
      <c r="E76" s="7"/>
      <c r="F76" s="7"/>
      <c r="J76" s="20">
        <v>35</v>
      </c>
      <c r="K76" s="20"/>
      <c r="L76" s="25"/>
      <c r="M76" s="25"/>
    </row>
    <row r="77" spans="2:13" ht="12.75">
      <c r="B77">
        <v>3468</v>
      </c>
      <c r="C77" t="s">
        <v>13</v>
      </c>
      <c r="D77" s="11">
        <v>2.4</v>
      </c>
      <c r="E77" t="s">
        <v>14</v>
      </c>
      <c r="F77" s="11">
        <f>B77*D77</f>
        <v>8323.199999999999</v>
      </c>
      <c r="J77" s="20">
        <v>36</v>
      </c>
      <c r="K77" s="20"/>
      <c r="L77" s="25"/>
      <c r="M77" s="25"/>
    </row>
    <row r="78" spans="1:13" ht="12.75">
      <c r="A78" s="4" t="s">
        <v>31</v>
      </c>
      <c r="F78" s="8">
        <f>SUM(F77)</f>
        <v>8323.199999999999</v>
      </c>
      <c r="J78" s="20">
        <v>37</v>
      </c>
      <c r="K78" s="20"/>
      <c r="L78" s="25"/>
      <c r="M78" s="25"/>
    </row>
    <row r="79" spans="1:13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  <c r="J79" s="20">
        <v>38</v>
      </c>
      <c r="K79" s="20"/>
      <c r="L79" s="25"/>
      <c r="M79" s="25"/>
    </row>
    <row r="80" spans="1:13" ht="12.75">
      <c r="A80" s="1" t="s">
        <v>32</v>
      </c>
      <c r="B80" s="1"/>
      <c r="F80" s="31">
        <f>F52+F56+F68+F74+F78+F79</f>
        <v>76369.05956184406</v>
      </c>
      <c r="J80" s="20">
        <v>39</v>
      </c>
      <c r="K80" s="20"/>
      <c r="L80" s="25"/>
      <c r="M80" s="25"/>
    </row>
    <row r="81" spans="1:13" ht="12.75">
      <c r="A81" s="1" t="s">
        <v>75</v>
      </c>
      <c r="B81" s="35"/>
      <c r="C81" s="35">
        <v>0.058</v>
      </c>
      <c r="D81" s="1"/>
      <c r="E81" s="1"/>
      <c r="F81" s="31">
        <f>F80*5.8%</f>
        <v>4429.405454586955</v>
      </c>
      <c r="J81" s="20"/>
      <c r="K81" s="20"/>
      <c r="L81" s="30" t="s">
        <v>64</v>
      </c>
      <c r="M81" s="33">
        <f>SUM(M43:M80)</f>
        <v>30367.82</v>
      </c>
    </row>
    <row r="82" spans="1:6" ht="12.75">
      <c r="A82" s="1"/>
      <c r="B82" s="35" t="s">
        <v>130</v>
      </c>
      <c r="C82" s="35"/>
      <c r="D82" s="1"/>
      <c r="E82" s="58"/>
      <c r="F82" s="59">
        <v>2401.88</v>
      </c>
    </row>
    <row r="83" spans="1:6" ht="12.75">
      <c r="A83" s="1"/>
      <c r="B83" s="35" t="s">
        <v>131</v>
      </c>
      <c r="C83" s="35"/>
      <c r="D83" s="1"/>
      <c r="E83" s="58"/>
      <c r="F83" s="59">
        <v>485.81</v>
      </c>
    </row>
    <row r="84" spans="1:6" ht="12.75">
      <c r="A84" s="1"/>
      <c r="B84" s="35" t="s">
        <v>132</v>
      </c>
      <c r="C84" s="35"/>
      <c r="D84" s="1"/>
      <c r="E84" s="58"/>
      <c r="F84" s="59">
        <v>3157.75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86843.90501643102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42979</v>
      </c>
      <c r="C87" s="39">
        <v>-356394</v>
      </c>
      <c r="D87" s="43">
        <f>F44</f>
        <v>52229.11</v>
      </c>
      <c r="E87" s="43">
        <f>F85</f>
        <v>86843.90501643102</v>
      </c>
      <c r="F87" s="44">
        <f>C87+D87-E87</f>
        <v>-391008.795016431</v>
      </c>
    </row>
    <row r="89" spans="1:6" ht="13.5" thickBot="1">
      <c r="A89" t="s">
        <v>111</v>
      </c>
      <c r="C89" s="52">
        <v>42979</v>
      </c>
      <c r="D89" s="8" t="s">
        <v>112</v>
      </c>
      <c r="E89" s="52">
        <v>43038</v>
      </c>
      <c r="F89" t="s">
        <v>113</v>
      </c>
    </row>
    <row r="90" spans="1:7" ht="13.5" thickBot="1">
      <c r="A90" t="s">
        <v>114</v>
      </c>
      <c r="F90" s="53">
        <f>E87</f>
        <v>86843.90501643102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6" ht="12.75">
      <c r="A106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2017-08-21T12:54:38Z</cp:lastPrinted>
  <dcterms:created xsi:type="dcterms:W3CDTF">2008-08-18T07:30:19Z</dcterms:created>
  <dcterms:modified xsi:type="dcterms:W3CDTF">2017-11-29T13:46:32Z</dcterms:modified>
  <cp:category/>
  <cp:version/>
  <cp:contentType/>
  <cp:contentStatus/>
</cp:coreProperties>
</file>