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<sst xmlns="http://schemas.openxmlformats.org/spreadsheetml/2006/main" count="210" uniqueCount="173">
  <si>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</si>
  <si>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</si>
  <si>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</si>
  <si>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</si>
  <si>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</si>
  <si>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</si>
  <si>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</si>
  <si>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</si>
  <si>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</si>
  <si>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</si>
  <si>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</si>
  <si>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</si>
  <si>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</si>
  <si>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</si>
  <si>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</si>
  <si>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</si>
  <si>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</si>
  <si>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</si>
  <si>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</si>
  <si>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</si>
  <si>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</si>
  <si>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</si>
  <si>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</si>
  <si>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</si>
  <si>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</si>
  <si>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</si>
  <si>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</si>
  <si>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</si>
  <si>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</si>
  <si>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</si>
  <si>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</si>
  <si>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</si>
  <si>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</si>
  <si>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</si>
  <si>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</si>
  <si>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</si>
  <si>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</si>
  <si>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</si>
  <si>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</si>
  <si>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</si>
  <si>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</si>
  <si>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</si>
  <si>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</si>
  <si>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</si>
  <si>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</si>
  <si>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</si>
  <si>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</si>
  <si>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</si>
  <si>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</si>
  <si>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</si>
  <si>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</si>
  <si>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</si>
  <si>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</si>
  <si>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</si>
  <si>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</si>
  <si>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</si>
  <si>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</si>
  <si>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</si>
  <si>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</si>
  <si>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</si>
  <si>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</si>
  <si>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</si>
  <si>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</si>
  <si>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</si>
  <si>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</si>
  <si>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</si>
  <si>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д.5</t>
  </si>
  <si>
    <t xml:space="preserve">остаток 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</si>
  <si>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</si>
  <si>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</si>
  <si>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</si>
  <si>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</si>
  <si>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</si>
  <si>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</si>
  <si>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</si>
  <si>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</si>
  <si>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</si>
  <si>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</si>
  <si>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</si>
  <si>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</si>
  <si>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</si>
  <si>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</si>
  <si>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</si>
  <si>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</si>
  <si>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</si>
  <si>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</si>
  <si>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</si>
  <si>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</si>
  <si>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</si>
  <si>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</si>
  <si>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</si>
  <si>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</si>
  <si>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</si>
  <si>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</si>
  <si>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</si>
  <si>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</si>
  <si>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</si>
  <si>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</si>
  <si>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</si>
  <si>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</si>
  <si>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</si>
  <si>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</si>
  <si>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</si>
  <si>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</si>
  <si>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</si>
  <si>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</si>
  <si>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</si>
  <si>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</si>
  <si>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</si>
  <si>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</si>
  <si>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</si>
  <si>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</si>
  <si>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</si>
  <si>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</si>
  <si>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</si>
  <si>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</si>
  <si>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</si>
  <si>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</si>
  <si>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</si>
  <si>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</si>
  <si>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</si>
  <si>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</si>
  <si>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</si>
  <si>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</si>
  <si>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</si>
  <si>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</si>
  <si>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(поликлиника,ростелеком, 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</si>
  <si>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</si>
  <si>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</si>
  <si>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</si>
  <si>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</si>
  <si>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</si>
  <si>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октября</t>
  </si>
  <si>
    <t>за   октябрь  2017 г.</t>
  </si>
  <si>
    <t>ост.на 01.11.</t>
  </si>
  <si>
    <t>смена вентиля д 15 (1шт) кв.20</t>
  </si>
  <si>
    <t>смена труб д 20 на п.пр. (8мп) кв.20</t>
  </si>
  <si>
    <t>тркба д 20 п.пр.</t>
  </si>
  <si>
    <t>тройник п.пр. 20</t>
  </si>
  <si>
    <t>муфта 20</t>
  </si>
  <si>
    <t>2шт</t>
  </si>
  <si>
    <t>муфта 20 раз.</t>
  </si>
  <si>
    <t>1шт</t>
  </si>
  <si>
    <t>вентиль д 15</t>
  </si>
  <si>
    <t>смена труб д 20 на п.пр. (4мп) кв.20</t>
  </si>
  <si>
    <t>12мп</t>
  </si>
  <si>
    <t>5шт</t>
  </si>
  <si>
    <t>уголок 20</t>
  </si>
  <si>
    <t>6шт</t>
  </si>
  <si>
    <t>изготовление и установка люка</t>
  </si>
  <si>
    <t>уголок 35</t>
  </si>
  <si>
    <t>3мп</t>
  </si>
  <si>
    <t>тес</t>
  </si>
  <si>
    <t>петля</t>
  </si>
  <si>
    <t>саморезы</t>
  </si>
  <si>
    <t>30шт</t>
  </si>
  <si>
    <t xml:space="preserve">прочистка вентканалов </t>
  </si>
  <si>
    <t>смена ламп (4шт) п-д1,3</t>
  </si>
  <si>
    <t>лампа</t>
  </si>
  <si>
    <t>4шт</t>
  </si>
  <si>
    <t>труба д 110 1-метровая</t>
  </si>
  <si>
    <t>смена труб д 110 (6мп) эт.1</t>
  </si>
  <si>
    <t>труба д 110 2-метровая</t>
  </si>
  <si>
    <t>тройник 110</t>
  </si>
  <si>
    <t>муфта комп.</t>
  </si>
  <si>
    <t xml:space="preserve">заглушка 110 </t>
  </si>
  <si>
    <t>установка заглушки (1шт) 1 эт.</t>
  </si>
  <si>
    <t>переход</t>
  </si>
  <si>
    <t>отвод 110</t>
  </si>
  <si>
    <t>манжет 123</t>
  </si>
  <si>
    <t>смена муфт гебо д. 32,50 (9шт)</t>
  </si>
  <si>
    <t>муфта гебо 32</t>
  </si>
  <si>
    <t>муфта гебо 50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</si>
</sst>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right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21" xfId="0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center"/>
    </xf>
    <xf numFmtId="2" fontId="0" fillId="0" borderId="12" xfId="0" applyNumberForma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8">
      <selection activeCell="F42" sqref="F42"/>
    </sheetView>
  </sheetViews>
  <sheetFormatPr defaultColWidth="9.00390625" defaultRowHeight="12.75"/>
  <cols>
    <col min="1" max="1" width="15.625" style="0" customWidth="1"/>
    <col min="3" max="3" width="11.75390625" style="0" customWidth="1"/>
    <col min="4" max="4" width="11.125" style="0" customWidth="1"/>
    <col min="5" max="5" width="10.75390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10</v>
      </c>
      <c r="K2" s="5" t="s">
        <v>133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132</v>
      </c>
      <c r="G5" s="8" t="s">
        <v>128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51">
        <f>L6*114.3*1.202</f>
        <v>0</v>
      </c>
    </row>
    <row r="7" spans="2:13" ht="12.75">
      <c r="B7" t="s">
        <v>89</v>
      </c>
      <c r="C7" s="1" t="s">
        <v>90</v>
      </c>
      <c r="D7" s="8">
        <v>5</v>
      </c>
      <c r="J7" s="14">
        <v>2</v>
      </c>
      <c r="K7" s="14" t="s">
        <v>43</v>
      </c>
      <c r="L7" s="14"/>
      <c r="M7" s="51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51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51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51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5.74</v>
      </c>
      <c r="M11" s="51">
        <f t="shared" si="0"/>
        <v>788.610564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51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2.28</v>
      </c>
      <c r="M13" s="51">
        <f t="shared" si="0"/>
        <v>313.24600799999996</v>
      </c>
    </row>
    <row r="14" spans="1:13" ht="12.75">
      <c r="A14" t="s">
        <v>96</v>
      </c>
      <c r="J14" s="20">
        <v>5</v>
      </c>
      <c r="K14" s="19" t="s">
        <v>49</v>
      </c>
      <c r="L14" s="25">
        <v>5.31</v>
      </c>
      <c r="M14" s="51">
        <f t="shared" si="0"/>
        <v>729.533466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51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51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51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1.08</v>
      </c>
      <c r="M18" s="51">
        <f t="shared" si="0"/>
        <v>148.379688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51">
        <f t="shared" si="0"/>
        <v>68.6943</v>
      </c>
    </row>
    <row r="20" spans="1:13" ht="12.75">
      <c r="A20" t="s">
        <v>102</v>
      </c>
      <c r="J20" s="20"/>
      <c r="K20" s="27" t="s">
        <v>57</v>
      </c>
      <c r="L20" s="28">
        <f>SUM(L6:L19)</f>
        <v>14.909999999999998</v>
      </c>
      <c r="M20" s="34">
        <f>SUM(M6:M19)</f>
        <v>2048.464026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36">
        <v>1</v>
      </c>
      <c r="K24" s="35" t="s">
        <v>136</v>
      </c>
      <c r="L24" s="60">
        <f>0.08*224.9</f>
        <v>17.992</v>
      </c>
      <c r="M24" s="33">
        <f>L24*114.3*1.202*1.15</f>
        <v>2842.6800448799995</v>
      </c>
    </row>
    <row r="25" spans="1:13" ht="12.75">
      <c r="A25" t="s">
        <v>106</v>
      </c>
      <c r="J25" s="36">
        <v>2</v>
      </c>
      <c r="K25" s="35" t="s">
        <v>135</v>
      </c>
      <c r="L25" s="60">
        <v>0.81</v>
      </c>
      <c r="M25" s="33">
        <f aca="true" t="shared" si="1" ref="M25:M36">L25*114.3*1.202*1.15</f>
        <v>127.97748089999997</v>
      </c>
    </row>
    <row r="26" spans="1:13" ht="12.75">
      <c r="A26" t="s">
        <v>107</v>
      </c>
      <c r="J26" s="36">
        <v>3</v>
      </c>
      <c r="K26" s="35" t="s">
        <v>144</v>
      </c>
      <c r="L26" s="60">
        <f>0.04*224.9</f>
        <v>8.996</v>
      </c>
      <c r="M26" s="33">
        <f t="shared" si="1"/>
        <v>1421.3400224399998</v>
      </c>
    </row>
    <row r="27" spans="1:13" ht="12.75">
      <c r="A27" s="55" t="s">
        <v>108</v>
      </c>
      <c r="B27" s="55"/>
      <c r="C27" s="55"/>
      <c r="D27" s="55"/>
      <c r="E27" s="55"/>
      <c r="F27" s="55"/>
      <c r="G27" s="55"/>
      <c r="J27" s="36">
        <v>4</v>
      </c>
      <c r="K27" s="35" t="s">
        <v>135</v>
      </c>
      <c r="L27" s="23">
        <v>0.81</v>
      </c>
      <c r="M27" s="33">
        <f t="shared" si="1"/>
        <v>127.97748089999997</v>
      </c>
    </row>
    <row r="28" spans="1:13" ht="12.75">
      <c r="A28" t="s">
        <v>109</v>
      </c>
      <c r="B28" s="1"/>
      <c r="C28" s="1"/>
      <c r="D28" s="1"/>
      <c r="J28" s="36">
        <v>5</v>
      </c>
      <c r="K28" s="35" t="s">
        <v>149</v>
      </c>
      <c r="L28" s="23">
        <v>6.78</v>
      </c>
      <c r="M28" s="33">
        <f t="shared" si="1"/>
        <v>1071.2189142</v>
      </c>
    </row>
    <row r="29" spans="1:13" ht="12.75">
      <c r="A29" t="s">
        <v>110</v>
      </c>
      <c r="B29" s="1"/>
      <c r="C29" s="8"/>
      <c r="D29" s="8"/>
      <c r="J29" s="36">
        <v>6</v>
      </c>
      <c r="K29" s="35" t="s">
        <v>156</v>
      </c>
      <c r="L29" s="23">
        <f>0.15*18.7</f>
        <v>2.8049999999999997</v>
      </c>
      <c r="M29" s="33">
        <f t="shared" si="1"/>
        <v>443.18127644999987</v>
      </c>
    </row>
    <row r="30" spans="10:13" ht="12.75">
      <c r="J30" s="36">
        <v>7</v>
      </c>
      <c r="K30" s="20" t="s">
        <v>157</v>
      </c>
      <c r="L30" s="23">
        <f>0.28</f>
        <v>0.28</v>
      </c>
      <c r="M30" s="33">
        <f t="shared" si="1"/>
        <v>44.2391292</v>
      </c>
    </row>
    <row r="31" spans="2:13" ht="12.75">
      <c r="B31" t="s">
        <v>0</v>
      </c>
      <c r="J31" s="36">
        <v>8</v>
      </c>
      <c r="K31" s="16" t="s">
        <v>161</v>
      </c>
      <c r="L31" s="23">
        <f>0.06*146.9</f>
        <v>8.814</v>
      </c>
      <c r="M31" s="33">
        <f t="shared" si="1"/>
        <v>1392.5845884599998</v>
      </c>
    </row>
    <row r="32" spans="10:13" ht="12.75">
      <c r="J32" s="36">
        <v>9</v>
      </c>
      <c r="K32" s="16" t="s">
        <v>166</v>
      </c>
      <c r="L32" s="23">
        <v>1.12</v>
      </c>
      <c r="M32" s="33">
        <f t="shared" si="1"/>
        <v>176.9565168</v>
      </c>
    </row>
    <row r="33" spans="1:13" ht="12.75">
      <c r="A33" t="s">
        <v>1</v>
      </c>
      <c r="E33">
        <v>2102</v>
      </c>
      <c r="F33" t="s">
        <v>65</v>
      </c>
      <c r="J33" s="36">
        <v>10</v>
      </c>
      <c r="K33" s="16" t="s">
        <v>170</v>
      </c>
      <c r="L33" s="23">
        <f>9*1.03</f>
        <v>9.27</v>
      </c>
      <c r="M33" s="33">
        <f t="shared" si="1"/>
        <v>1464.6311703</v>
      </c>
    </row>
    <row r="34" spans="1:13" ht="12.75">
      <c r="A34" t="s">
        <v>2</v>
      </c>
      <c r="E34">
        <v>203.5</v>
      </c>
      <c r="F34" t="s">
        <v>65</v>
      </c>
      <c r="J34" s="36">
        <v>11</v>
      </c>
      <c r="K34" s="16"/>
      <c r="L34" s="23"/>
      <c r="M34" s="33">
        <f t="shared" si="1"/>
        <v>0</v>
      </c>
    </row>
    <row r="35" spans="1:13" ht="12.75">
      <c r="A35" t="s">
        <v>3</v>
      </c>
      <c r="J35" s="36">
        <v>12</v>
      </c>
      <c r="K35" s="35"/>
      <c r="L35" s="23"/>
      <c r="M35" s="33">
        <f t="shared" si="1"/>
        <v>0</v>
      </c>
    </row>
    <row r="36" spans="1:13" ht="12.75">
      <c r="A36" t="s">
        <v>4</v>
      </c>
      <c r="E36">
        <v>235.6</v>
      </c>
      <c r="F36" t="s">
        <v>65</v>
      </c>
      <c r="J36" s="36">
        <v>13</v>
      </c>
      <c r="K36" s="35"/>
      <c r="L36" s="23"/>
      <c r="M36" s="33">
        <f t="shared" si="1"/>
        <v>0</v>
      </c>
    </row>
    <row r="37" spans="10:13" ht="12.75">
      <c r="J37" s="20"/>
      <c r="K37" s="30" t="s">
        <v>57</v>
      </c>
      <c r="L37" s="28">
        <f>SUM(L24:L36)</f>
        <v>57.67699999999999</v>
      </c>
      <c r="M37" s="34">
        <f>SUM(M24:M36)</f>
        <v>9112.78662453</v>
      </c>
    </row>
    <row r="38" spans="2:11" ht="12.75">
      <c r="B38" s="1" t="s">
        <v>5</v>
      </c>
      <c r="C38" s="1"/>
      <c r="K38" s="1" t="s">
        <v>61</v>
      </c>
    </row>
    <row r="39" spans="10:13" ht="12.75">
      <c r="J39" s="22" t="s">
        <v>35</v>
      </c>
      <c r="K39" s="22"/>
      <c r="L39" s="22" t="s">
        <v>62</v>
      </c>
      <c r="M39" s="22" t="s">
        <v>41</v>
      </c>
    </row>
    <row r="40" spans="1:13" ht="12.75">
      <c r="A40" s="2" t="s">
        <v>6</v>
      </c>
      <c r="F40" s="11">
        <f>30619.99-529.25</f>
        <v>30090.74</v>
      </c>
      <c r="J40" s="23" t="s">
        <v>36</v>
      </c>
      <c r="K40" s="23" t="s">
        <v>37</v>
      </c>
      <c r="L40" s="23"/>
      <c r="M40" s="23" t="s">
        <v>63</v>
      </c>
    </row>
    <row r="41" spans="1:13" ht="12.75">
      <c r="A41" t="s">
        <v>7</v>
      </c>
      <c r="F41" s="5">
        <f>28152.47</f>
        <v>28152.47</v>
      </c>
      <c r="J41" s="20">
        <v>1</v>
      </c>
      <c r="K41" s="20" t="s">
        <v>137</v>
      </c>
      <c r="L41" s="25" t="s">
        <v>145</v>
      </c>
      <c r="M41" s="25">
        <f>12*65</f>
        <v>780</v>
      </c>
    </row>
    <row r="42" spans="2:13" ht="12.75">
      <c r="B42" t="s">
        <v>8</v>
      </c>
      <c r="F42" s="9">
        <f>F41/F40</f>
        <v>0.9355858313886598</v>
      </c>
      <c r="J42" s="20">
        <v>2</v>
      </c>
      <c r="K42" s="20" t="s">
        <v>138</v>
      </c>
      <c r="L42" s="25" t="s">
        <v>146</v>
      </c>
      <c r="M42" s="25">
        <f>5*10</f>
        <v>50</v>
      </c>
    </row>
    <row r="43" spans="1:13" ht="12.75">
      <c r="A43" s="7" t="s">
        <v>126</v>
      </c>
      <c r="B43" s="7"/>
      <c r="C43" s="7"/>
      <c r="D43" s="7"/>
      <c r="E43" s="7"/>
      <c r="F43" s="5">
        <f>5606.03+250+400</f>
        <v>6256.03</v>
      </c>
      <c r="J43" s="20">
        <v>3</v>
      </c>
      <c r="K43" s="20" t="s">
        <v>139</v>
      </c>
      <c r="L43" s="25" t="s">
        <v>146</v>
      </c>
      <c r="M43" s="25">
        <f>5*90.84</f>
        <v>454.20000000000005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34408.5</v>
      </c>
      <c r="J44" s="20">
        <v>4</v>
      </c>
      <c r="K44" s="20" t="s">
        <v>141</v>
      </c>
      <c r="L44" s="25" t="s">
        <v>142</v>
      </c>
      <c r="M44" s="25">
        <f>1*174.5</f>
        <v>174.5</v>
      </c>
    </row>
    <row r="45" spans="10:13" ht="12.75">
      <c r="J45" s="20">
        <v>5</v>
      </c>
      <c r="K45" s="20" t="s">
        <v>143</v>
      </c>
      <c r="L45" s="25" t="s">
        <v>140</v>
      </c>
      <c r="M45" s="25">
        <f>2*228</f>
        <v>456</v>
      </c>
    </row>
    <row r="46" spans="2:13" ht="12.75">
      <c r="B46" s="1" t="s">
        <v>10</v>
      </c>
      <c r="C46" s="1"/>
      <c r="J46" s="20">
        <v>6</v>
      </c>
      <c r="K46" s="20" t="s">
        <v>147</v>
      </c>
      <c r="L46" s="25" t="s">
        <v>148</v>
      </c>
      <c r="M46" s="25">
        <f>6*17.01</f>
        <v>102.06</v>
      </c>
    </row>
    <row r="47" spans="10:13" ht="12.75">
      <c r="J47" s="20">
        <v>7</v>
      </c>
      <c r="K47" s="20" t="s">
        <v>150</v>
      </c>
      <c r="L47" s="25" t="s">
        <v>151</v>
      </c>
      <c r="M47" s="25">
        <f>3*110</f>
        <v>330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20" t="s">
        <v>152</v>
      </c>
      <c r="L48" s="25" t="s">
        <v>151</v>
      </c>
      <c r="M48" s="25">
        <f>3*233</f>
        <v>699</v>
      </c>
    </row>
    <row r="49" spans="1:13" ht="12.75">
      <c r="A49" t="s">
        <v>12</v>
      </c>
      <c r="F49" s="11">
        <v>4047.13</v>
      </c>
      <c r="J49" s="20">
        <v>9</v>
      </c>
      <c r="K49" s="20" t="s">
        <v>153</v>
      </c>
      <c r="L49" s="25" t="s">
        <v>140</v>
      </c>
      <c r="M49" s="25">
        <f>2*28.68</f>
        <v>57.36</v>
      </c>
    </row>
    <row r="50" spans="1:13" ht="12.75">
      <c r="A50" s="6" t="s">
        <v>15</v>
      </c>
      <c r="F50" s="11">
        <f>(1600+160)*1.202</f>
        <v>2115.52</v>
      </c>
      <c r="J50" s="20">
        <v>10</v>
      </c>
      <c r="K50" s="20" t="s">
        <v>154</v>
      </c>
      <c r="L50" s="25" t="s">
        <v>155</v>
      </c>
      <c r="M50" s="25">
        <f>30*1.44</f>
        <v>43.199999999999996</v>
      </c>
    </row>
    <row r="51" spans="1:13" ht="12.75">
      <c r="A51" s="6" t="s">
        <v>83</v>
      </c>
      <c r="E51" s="5">
        <v>0</v>
      </c>
      <c r="F51" s="11">
        <f>E51*E33</f>
        <v>0</v>
      </c>
      <c r="J51" s="20">
        <v>11</v>
      </c>
      <c r="K51" s="20" t="s">
        <v>158</v>
      </c>
      <c r="L51" s="25" t="s">
        <v>159</v>
      </c>
      <c r="M51" s="25">
        <f>4*14.46</f>
        <v>57.84</v>
      </c>
    </row>
    <row r="52" spans="1:13" ht="12.75">
      <c r="A52" s="4" t="s">
        <v>33</v>
      </c>
      <c r="B52" s="1"/>
      <c r="F52" s="32">
        <f>F49+F50+F51</f>
        <v>6162.65</v>
      </c>
      <c r="J52" s="20">
        <v>12</v>
      </c>
      <c r="K52" s="20" t="s">
        <v>160</v>
      </c>
      <c r="L52" s="25" t="s">
        <v>140</v>
      </c>
      <c r="M52" s="25">
        <f>2*229.01</f>
        <v>458.02</v>
      </c>
    </row>
    <row r="53" spans="1:13" ht="12.75">
      <c r="A53" s="4" t="s">
        <v>16</v>
      </c>
      <c r="J53" s="20">
        <v>13</v>
      </c>
      <c r="K53" s="20" t="s">
        <v>162</v>
      </c>
      <c r="L53" s="25" t="s">
        <v>140</v>
      </c>
      <c r="M53" s="25">
        <f>2*425</f>
        <v>850</v>
      </c>
    </row>
    <row r="54" spans="1:13" ht="12.75">
      <c r="A54" t="s">
        <v>74</v>
      </c>
      <c r="D54" s="5">
        <v>1.92</v>
      </c>
      <c r="E54" t="s">
        <v>14</v>
      </c>
      <c r="F54" s="11">
        <f>E33*D54</f>
        <v>4035.8399999999997</v>
      </c>
      <c r="J54" s="20">
        <v>14</v>
      </c>
      <c r="K54" s="20" t="s">
        <v>163</v>
      </c>
      <c r="L54" s="25" t="s">
        <v>140</v>
      </c>
      <c r="M54" s="25">
        <f>2*110.62</f>
        <v>221.24</v>
      </c>
    </row>
    <row r="55" spans="1:13" ht="12.75">
      <c r="A55" t="s">
        <v>79</v>
      </c>
      <c r="B55">
        <v>203.5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15</v>
      </c>
      <c r="K55" s="20" t="s">
        <v>164</v>
      </c>
      <c r="L55" s="25" t="s">
        <v>142</v>
      </c>
      <c r="M55" s="25">
        <v>68.9</v>
      </c>
    </row>
    <row r="56" spans="1:13" ht="12.75">
      <c r="A56" s="4" t="s">
        <v>17</v>
      </c>
      <c r="B56" s="10"/>
      <c r="C56" s="10"/>
      <c r="F56" s="32">
        <f>SUM(F54:F55)</f>
        <v>4035.8399999999997</v>
      </c>
      <c r="J56" s="20">
        <v>16</v>
      </c>
      <c r="K56" s="20" t="s">
        <v>165</v>
      </c>
      <c r="L56" s="25" t="s">
        <v>142</v>
      </c>
      <c r="M56" s="25">
        <v>20</v>
      </c>
    </row>
    <row r="57" spans="1:13" ht="12.75">
      <c r="A57" s="4" t="s">
        <v>18</v>
      </c>
      <c r="B57" s="4"/>
      <c r="J57" s="20">
        <v>17</v>
      </c>
      <c r="K57" s="20" t="s">
        <v>167</v>
      </c>
      <c r="L57" s="25" t="s">
        <v>142</v>
      </c>
      <c r="M57" s="25">
        <v>115</v>
      </c>
    </row>
    <row r="58" spans="1:13" ht="12.75">
      <c r="A58" t="s">
        <v>19</v>
      </c>
      <c r="C58" s="54">
        <v>166992</v>
      </c>
      <c r="D58">
        <v>228935.4</v>
      </c>
      <c r="E58">
        <v>2102</v>
      </c>
      <c r="F58" s="37">
        <f>C58/D58*E58</f>
        <v>1533.2586572456685</v>
      </c>
      <c r="J58" s="20">
        <v>18</v>
      </c>
      <c r="K58" s="20" t="s">
        <v>168</v>
      </c>
      <c r="L58" s="25" t="s">
        <v>148</v>
      </c>
      <c r="M58" s="25">
        <f>6*62.8</f>
        <v>376.79999999999995</v>
      </c>
    </row>
    <row r="59" spans="1:13" ht="12.75">
      <c r="A59" t="s">
        <v>20</v>
      </c>
      <c r="F59" s="37">
        <f>M20</f>
        <v>2048.464026</v>
      </c>
      <c r="J59" s="20">
        <v>19</v>
      </c>
      <c r="K59" s="20" t="s">
        <v>169</v>
      </c>
      <c r="L59" s="25" t="s">
        <v>142</v>
      </c>
      <c r="M59" s="25">
        <v>43</v>
      </c>
    </row>
    <row r="60" spans="1:13" ht="12.75">
      <c r="A60" t="s">
        <v>21</v>
      </c>
      <c r="F60" s="11">
        <f>M37</f>
        <v>9112.78662453</v>
      </c>
      <c r="J60" s="20">
        <v>20</v>
      </c>
      <c r="K60" s="20" t="s">
        <v>171</v>
      </c>
      <c r="L60" s="25" t="s">
        <v>146</v>
      </c>
      <c r="M60" s="25">
        <f>5*620</f>
        <v>3100</v>
      </c>
    </row>
    <row r="61" spans="1:13" ht="12.75">
      <c r="A61" t="s">
        <v>72</v>
      </c>
      <c r="F61" s="5">
        <v>0</v>
      </c>
      <c r="J61" s="20">
        <v>21</v>
      </c>
      <c r="K61" s="20" t="s">
        <v>172</v>
      </c>
      <c r="L61" s="25" t="s">
        <v>159</v>
      </c>
      <c r="M61" s="25">
        <f>4*1325</f>
        <v>5300</v>
      </c>
    </row>
    <row r="62" spans="1:13" ht="12.75">
      <c r="A62" t="s">
        <v>22</v>
      </c>
      <c r="F62" s="5">
        <f>M64</f>
        <v>13757.119999999999</v>
      </c>
      <c r="J62" s="20">
        <v>22</v>
      </c>
      <c r="K62" s="20"/>
      <c r="L62" s="25"/>
      <c r="M62" s="25"/>
    </row>
    <row r="63" spans="1:13" ht="12.75">
      <c r="A63" t="s">
        <v>23</v>
      </c>
      <c r="F63" s="5"/>
      <c r="J63" s="20">
        <v>23</v>
      </c>
      <c r="K63" s="20"/>
      <c r="L63" s="25"/>
      <c r="M63" s="25"/>
    </row>
    <row r="64" spans="1:13" ht="12.75">
      <c r="A64" t="s">
        <v>24</v>
      </c>
      <c r="F64" s="5"/>
      <c r="J64" s="20"/>
      <c r="K64" s="20"/>
      <c r="L64" s="31" t="s">
        <v>64</v>
      </c>
      <c r="M64" s="28">
        <f>SUM(M41:M63)</f>
        <v>13757.119999999999</v>
      </c>
    </row>
    <row r="65" spans="2:6" ht="12.75">
      <c r="B65">
        <v>2102</v>
      </c>
      <c r="C65" t="s">
        <v>13</v>
      </c>
      <c r="D65" s="11">
        <v>0.22</v>
      </c>
      <c r="E65" t="s">
        <v>14</v>
      </c>
      <c r="F65" s="5">
        <f>B65*D65</f>
        <v>462.44</v>
      </c>
    </row>
    <row r="66" spans="1:6" ht="12.75">
      <c r="A66" s="54" t="s">
        <v>75</v>
      </c>
      <c r="B66" s="54"/>
      <c r="C66" s="54"/>
      <c r="D66" s="58"/>
      <c r="E66" s="54"/>
      <c r="F66" s="59">
        <v>0</v>
      </c>
    </row>
    <row r="67" spans="1:6" ht="12.75">
      <c r="A67" s="48" t="s">
        <v>84</v>
      </c>
      <c r="B67" s="48"/>
      <c r="C67" s="48"/>
      <c r="D67" s="47">
        <v>0</v>
      </c>
      <c r="E67" s="48"/>
      <c r="F67" s="49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26914.069307775666</v>
      </c>
    </row>
    <row r="69" ht="12.75">
      <c r="A69" s="4" t="s">
        <v>26</v>
      </c>
    </row>
    <row r="70" spans="1:6" ht="12.75">
      <c r="A70" t="s">
        <v>27</v>
      </c>
      <c r="B70">
        <v>2102</v>
      </c>
      <c r="C70" t="s">
        <v>65</v>
      </c>
      <c r="D70" s="5">
        <v>0.21</v>
      </c>
      <c r="E70" t="s">
        <v>14</v>
      </c>
      <c r="F70" s="47">
        <f>B70*D70</f>
        <v>441.41999999999996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2102</v>
      </c>
      <c r="C73" t="s">
        <v>13</v>
      </c>
      <c r="D73" s="11">
        <v>1.15</v>
      </c>
      <c r="E73" t="s">
        <v>14</v>
      </c>
      <c r="F73" s="11">
        <f>B73*D73</f>
        <v>2417.2999999999997</v>
      </c>
    </row>
    <row r="74" spans="1:6" ht="12.75">
      <c r="A74" s="4" t="s">
        <v>29</v>
      </c>
      <c r="F74" s="32">
        <f>F70+F73</f>
        <v>2858.72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2102</v>
      </c>
      <c r="C77" t="s">
        <v>13</v>
      </c>
      <c r="D77" s="11">
        <v>2.27</v>
      </c>
      <c r="E77" t="s">
        <v>14</v>
      </c>
      <c r="F77" s="5">
        <f>B77*D77</f>
        <v>4771.54</v>
      </c>
    </row>
    <row r="78" spans="1:6" ht="12.75">
      <c r="A78" s="4" t="s">
        <v>31</v>
      </c>
      <c r="F78" s="8">
        <f>SUM(F77)</f>
        <v>4771.54</v>
      </c>
    </row>
    <row r="79" spans="1:6" ht="12.75">
      <c r="A79" s="52" t="s">
        <v>78</v>
      </c>
      <c r="B79" s="48"/>
      <c r="C79" s="48"/>
      <c r="D79" s="49">
        <v>0</v>
      </c>
      <c r="E79" s="48"/>
      <c r="F79" s="53">
        <f>D79*E33</f>
        <v>0</v>
      </c>
    </row>
    <row r="80" spans="1:6" ht="12.75">
      <c r="A80" s="1" t="s">
        <v>32</v>
      </c>
      <c r="B80" s="1"/>
      <c r="F80" s="32">
        <f>F52+F56+F68+F74+F78+F79</f>
        <v>44742.819307775666</v>
      </c>
    </row>
    <row r="81" spans="1:9" ht="12.75">
      <c r="A81" s="1" t="s">
        <v>76</v>
      </c>
      <c r="B81" s="38"/>
      <c r="C81" s="50">
        <v>0.058</v>
      </c>
      <c r="D81" s="1"/>
      <c r="E81" s="1"/>
      <c r="F81" s="32">
        <f>F80*5.8%</f>
        <v>2595.0835198509885</v>
      </c>
      <c r="I81" s="7"/>
    </row>
    <row r="82" spans="1:9" ht="12.75">
      <c r="A82" s="1"/>
      <c r="B82" s="38" t="s">
        <v>129</v>
      </c>
      <c r="C82" s="50"/>
      <c r="D82" s="1"/>
      <c r="E82" s="61"/>
      <c r="F82" s="62">
        <v>4533.75</v>
      </c>
      <c r="I82" s="7"/>
    </row>
    <row r="83" spans="1:9" ht="12.75">
      <c r="A83" s="1"/>
      <c r="B83" s="38" t="s">
        <v>130</v>
      </c>
      <c r="C83" s="50"/>
      <c r="D83" s="1"/>
      <c r="E83" s="61"/>
      <c r="F83" s="62">
        <v>188.54</v>
      </c>
      <c r="I83" s="7"/>
    </row>
    <row r="84" spans="1:9" ht="12.75">
      <c r="A84" s="1"/>
      <c r="B84" s="38" t="s">
        <v>131</v>
      </c>
      <c r="C84" s="50"/>
      <c r="D84" s="1"/>
      <c r="E84" s="61"/>
      <c r="F84" s="62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4">
        <f>F80+F81+F82+F83+F84</f>
        <v>52060.192827626655</v>
      </c>
    </row>
    <row r="86" spans="2:6" ht="12.75">
      <c r="B86" s="39" t="s">
        <v>67</v>
      </c>
      <c r="C86" s="40" t="s">
        <v>68</v>
      </c>
      <c r="D86" s="22" t="s">
        <v>69</v>
      </c>
      <c r="E86" s="22" t="s">
        <v>70</v>
      </c>
      <c r="F86" s="43" t="s">
        <v>134</v>
      </c>
    </row>
    <row r="87" spans="1:6" ht="12.75">
      <c r="A87" s="13"/>
      <c r="B87" s="41">
        <v>43374</v>
      </c>
      <c r="C87" s="42">
        <v>261780</v>
      </c>
      <c r="D87" s="45">
        <f>F44</f>
        <v>34408.5</v>
      </c>
      <c r="E87" s="45">
        <f>F85</f>
        <v>52060.192827626655</v>
      </c>
      <c r="F87" s="46">
        <f>C87+D87-E87</f>
        <v>244128.30717237334</v>
      </c>
    </row>
    <row r="89" spans="1:6" ht="13.5" thickBot="1">
      <c r="A89" t="s">
        <v>111</v>
      </c>
      <c r="C89" s="56">
        <v>43009</v>
      </c>
      <c r="D89" s="8" t="s">
        <v>112</v>
      </c>
      <c r="E89" s="56">
        <v>43069</v>
      </c>
      <c r="F89" t="s">
        <v>113</v>
      </c>
    </row>
    <row r="90" spans="1:7" ht="13.5" thickBot="1">
      <c r="A90" t="s">
        <v>114</v>
      </c>
      <c r="F90" s="57">
        <v>47290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2017-08-21T12:43:19Z</cp:lastPrinted>
  <dcterms:created xsi:type="dcterms:W3CDTF">2008-08-18T07:30:19Z</dcterms:created>
  <dcterms:modified xsi:type="dcterms:W3CDTF">2018-01-24T07:01:36Z</dcterms:modified>
  <cp:category/>
  <cp:version/>
  <cp:contentType/>
  <cp:contentStatus/>
</cp:coreProperties>
</file>